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feitura\Desktop\"/>
    </mc:Choice>
  </mc:AlternateContent>
  <xr:revisionPtr revIDLastSave="0" documentId="8_{FF8C8384-6ECB-4D52-98A6-9AA04B9D99F6}" xr6:coauthVersionLast="45" xr6:coauthVersionMax="45" xr10:uidLastSave="{00000000-0000-0000-0000-000000000000}"/>
  <bookViews>
    <workbookView xWindow="-120" yWindow="-120" windowWidth="20640" windowHeight="11160" activeTab="1" xr2:uid="{00000000-000D-0000-FFFF-FFFF00000000}"/>
  </bookViews>
  <sheets>
    <sheet name="folha anual" sheetId="1" r:id="rId1"/>
    <sheet name="folha mensal" sheetId="2" r:id="rId2"/>
    <sheet name="receita e despesa anual" sheetId="3" r:id="rId3"/>
    <sheet name="desp. liquidada por secretaria" sheetId="4" r:id="rId4"/>
    <sheet name="rec vert e horiz" sheetId="5" r:id="rId5"/>
    <sheet name="desp vert e horiz" sheetId="6" r:id="rId6"/>
    <sheet name="saldo por recurso" sheetId="7" r:id="rId7"/>
    <sheet name="analise horiz e verti saude" sheetId="9" r:id="rId8"/>
    <sheet name="duodecimo camara" sheetId="10" r:id="rId9"/>
    <sheet name="excesso de arrecadação" sheetId="11" r:id="rId10"/>
    <sheet name="Plan1" sheetId="12" r:id="rId11"/>
  </sheets>
  <externalReferences>
    <externalReference r:id="rId1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6" i="2" l="1"/>
  <c r="S11" i="2"/>
  <c r="S13" i="2"/>
  <c r="S10" i="2"/>
  <c r="S8" i="2"/>
  <c r="S7" i="2"/>
  <c r="S6" i="2"/>
  <c r="Q6" i="5"/>
  <c r="M6" i="5"/>
  <c r="P6" i="5"/>
  <c r="O49" i="3"/>
  <c r="O50" i="3"/>
  <c r="O51" i="3"/>
  <c r="O48" i="3"/>
  <c r="N27" i="3"/>
  <c r="T30" i="1" l="1"/>
  <c r="S30" i="1"/>
  <c r="T16" i="1"/>
  <c r="S16" i="1"/>
  <c r="T6" i="2" l="1"/>
  <c r="R27" i="1" l="1"/>
  <c r="R21" i="1"/>
  <c r="R22" i="1"/>
  <c r="R23" i="1"/>
  <c r="R24" i="1"/>
  <c r="R25" i="1"/>
  <c r="R20" i="1"/>
  <c r="S23" i="1" l="1"/>
  <c r="T23" i="1"/>
  <c r="S25" i="1"/>
  <c r="T27" i="1"/>
  <c r="S27" i="1"/>
  <c r="S24" i="1"/>
  <c r="T24" i="1"/>
  <c r="S22" i="1"/>
  <c r="T22" i="1"/>
  <c r="T21" i="1"/>
  <c r="S21" i="1"/>
  <c r="T20" i="1"/>
  <c r="S20" i="1"/>
  <c r="R26" i="1"/>
  <c r="R28" i="1" l="1"/>
  <c r="T26" i="1"/>
  <c r="F14" i="11"/>
  <c r="T28" i="1" l="1"/>
  <c r="J6" i="5"/>
  <c r="C7" i="11"/>
  <c r="F7" i="11"/>
  <c r="F8" i="11"/>
  <c r="F9" i="11"/>
  <c r="F10" i="11"/>
  <c r="F11" i="11"/>
  <c r="F12" i="11"/>
  <c r="C18" i="7"/>
  <c r="F5" i="7"/>
  <c r="F6" i="7"/>
  <c r="F7" i="7"/>
  <c r="E4" i="7"/>
  <c r="F4" i="7" s="1"/>
  <c r="P30" i="1"/>
  <c r="O26" i="1"/>
  <c r="O28" i="1" s="1"/>
  <c r="P21" i="1"/>
  <c r="P22" i="1"/>
  <c r="P23" i="1"/>
  <c r="P24" i="1"/>
  <c r="P25" i="1"/>
  <c r="P27" i="1"/>
  <c r="P20" i="1"/>
  <c r="R16" i="2"/>
  <c r="R13" i="2"/>
  <c r="R9" i="2"/>
  <c r="R10" i="2"/>
  <c r="R11" i="2"/>
  <c r="R8" i="2"/>
  <c r="R7" i="2"/>
  <c r="R6" i="2"/>
  <c r="M56" i="3"/>
  <c r="D27" i="3"/>
  <c r="E27" i="3"/>
  <c r="F27" i="3"/>
  <c r="G27" i="3"/>
  <c r="H27" i="3"/>
  <c r="I27" i="3"/>
  <c r="J27" i="3"/>
  <c r="K27" i="3"/>
  <c r="L27" i="3"/>
  <c r="M27" i="3"/>
  <c r="C27" i="3"/>
  <c r="F13" i="11" l="1"/>
  <c r="Q23" i="5"/>
  <c r="P23" i="5"/>
  <c r="J23" i="5"/>
  <c r="G23" i="5"/>
  <c r="M23" i="5"/>
  <c r="N21" i="5"/>
  <c r="Q7" i="5"/>
  <c r="Q8" i="5"/>
  <c r="Q9" i="5"/>
  <c r="Q10" i="5"/>
  <c r="Q11" i="5"/>
  <c r="P7" i="5"/>
  <c r="P8" i="5"/>
  <c r="P9" i="5"/>
  <c r="P10" i="5"/>
  <c r="P11" i="5"/>
  <c r="M7" i="5"/>
  <c r="M8" i="5"/>
  <c r="M9" i="5"/>
  <c r="M10" i="5"/>
  <c r="M11" i="5"/>
  <c r="J7" i="5"/>
  <c r="J8" i="5"/>
  <c r="J9" i="5"/>
  <c r="J10" i="5"/>
  <c r="J11" i="5"/>
  <c r="G7" i="5"/>
  <c r="G8" i="5"/>
  <c r="G9" i="5"/>
  <c r="G10" i="5"/>
  <c r="G11" i="5"/>
  <c r="G6" i="5"/>
  <c r="H29" i="6"/>
  <c r="R7" i="6"/>
  <c r="R8" i="6"/>
  <c r="R11" i="6"/>
  <c r="R12" i="6"/>
  <c r="R14" i="6"/>
  <c r="R16" i="6"/>
  <c r="R17" i="6"/>
  <c r="R19" i="6"/>
  <c r="R21" i="6"/>
  <c r="R23" i="6"/>
  <c r="R24" i="6"/>
  <c r="R26" i="6"/>
  <c r="R27" i="6"/>
  <c r="R28" i="6"/>
  <c r="R5" i="6"/>
  <c r="P19" i="6"/>
  <c r="P6" i="6"/>
  <c r="P7" i="6"/>
  <c r="P8" i="6"/>
  <c r="P11" i="6"/>
  <c r="P12" i="6"/>
  <c r="Q12" i="6" s="1"/>
  <c r="P14" i="6"/>
  <c r="Q14" i="6" s="1"/>
  <c r="P16" i="6"/>
  <c r="P17" i="6"/>
  <c r="P21" i="6"/>
  <c r="Q21" i="6" s="1"/>
  <c r="P23" i="6"/>
  <c r="P24" i="6"/>
  <c r="P26" i="6"/>
  <c r="P27" i="6"/>
  <c r="P28" i="6"/>
  <c r="Q28" i="6" s="1"/>
  <c r="Q5" i="6"/>
  <c r="M6" i="6"/>
  <c r="M7" i="6"/>
  <c r="M8" i="6"/>
  <c r="M9" i="6"/>
  <c r="M11" i="6"/>
  <c r="M12" i="6"/>
  <c r="M14" i="6"/>
  <c r="M16" i="6"/>
  <c r="M17" i="6"/>
  <c r="M21" i="6"/>
  <c r="M23" i="6"/>
  <c r="M24" i="6"/>
  <c r="M26" i="6"/>
  <c r="M27" i="6"/>
  <c r="M28" i="6"/>
  <c r="J6" i="6"/>
  <c r="J7" i="6"/>
  <c r="J8" i="6"/>
  <c r="J11" i="6"/>
  <c r="J12" i="6"/>
  <c r="J14" i="6"/>
  <c r="J16" i="6"/>
  <c r="J19" i="6"/>
  <c r="J21" i="6"/>
  <c r="J23" i="6"/>
  <c r="J24" i="6"/>
  <c r="J26" i="6"/>
  <c r="J27" i="6"/>
  <c r="J28" i="6"/>
  <c r="G7" i="6"/>
  <c r="G8" i="6"/>
  <c r="G11" i="6"/>
  <c r="G12" i="6"/>
  <c r="G14" i="6"/>
  <c r="G16" i="6"/>
  <c r="G17" i="6"/>
  <c r="G19" i="6"/>
  <c r="G21" i="6"/>
  <c r="G23" i="6"/>
  <c r="G24" i="6"/>
  <c r="G26" i="6"/>
  <c r="G27" i="6"/>
  <c r="G28" i="6"/>
  <c r="G5" i="6"/>
  <c r="Q6" i="6"/>
  <c r="Q7" i="6"/>
  <c r="Q8" i="6"/>
  <c r="Q9" i="6"/>
  <c r="Q10" i="6"/>
  <c r="Q11" i="6"/>
  <c r="Q13" i="6"/>
  <c r="Q15" i="6"/>
  <c r="Q16" i="6"/>
  <c r="Q17" i="6"/>
  <c r="Q18" i="6"/>
  <c r="Q19" i="6"/>
  <c r="Q20" i="6"/>
  <c r="Q22" i="6"/>
  <c r="Q23" i="6"/>
  <c r="Q24" i="6"/>
  <c r="Q25" i="6"/>
  <c r="Q26" i="6"/>
  <c r="Q27" i="6"/>
  <c r="H27" i="9"/>
  <c r="K32" i="6"/>
  <c r="N32" i="6"/>
  <c r="P32" i="6" l="1"/>
  <c r="Q32" i="6" s="1"/>
  <c r="D65" i="3"/>
  <c r="E65" i="3"/>
  <c r="F65" i="3"/>
  <c r="G65" i="3"/>
  <c r="H65" i="3"/>
  <c r="I65" i="3"/>
  <c r="J65" i="3"/>
  <c r="K65" i="3"/>
  <c r="L65" i="3"/>
  <c r="M65" i="3"/>
  <c r="N65" i="3"/>
  <c r="C65" i="3"/>
  <c r="C58" i="3"/>
  <c r="C57" i="3"/>
  <c r="C56" i="3"/>
  <c r="L52" i="3" l="1"/>
  <c r="B1" i="2"/>
  <c r="M30" i="1"/>
  <c r="J30" i="1"/>
  <c r="M27" i="1"/>
  <c r="M22" i="1"/>
  <c r="M23" i="1"/>
  <c r="M24" i="1"/>
  <c r="M25" i="1"/>
  <c r="M20" i="1"/>
  <c r="E46" i="1"/>
  <c r="L21" i="1"/>
  <c r="L26" i="1" s="1"/>
  <c r="L28" i="1" s="1"/>
  <c r="J20" i="1"/>
  <c r="Q16" i="2"/>
  <c r="Q13" i="2"/>
  <c r="Q7" i="2"/>
  <c r="Q8" i="2"/>
  <c r="Q9" i="2"/>
  <c r="Q10" i="2"/>
  <c r="Q11" i="2"/>
  <c r="Q6" i="2"/>
  <c r="M21" i="1" l="1"/>
  <c r="O31" i="3" l="1"/>
  <c r="P10" i="2"/>
  <c r="I21" i="1"/>
  <c r="J27" i="1"/>
  <c r="J22" i="1"/>
  <c r="J23" i="1"/>
  <c r="J25" i="1"/>
  <c r="D20" i="1"/>
  <c r="P6" i="2"/>
  <c r="P16" i="2"/>
  <c r="P13" i="2"/>
  <c r="P7" i="2"/>
  <c r="P8" i="2"/>
  <c r="P9" i="2"/>
  <c r="P11" i="2"/>
  <c r="I26" i="1" l="1"/>
  <c r="G30" i="1"/>
  <c r="G27" i="1"/>
  <c r="G22" i="1"/>
  <c r="G23" i="1"/>
  <c r="G25" i="1"/>
  <c r="G20" i="1"/>
  <c r="F6" i="1"/>
  <c r="G6" i="1" s="1"/>
  <c r="F21" i="1"/>
  <c r="O7" i="2" s="1"/>
  <c r="O13" i="2"/>
  <c r="O8" i="2"/>
  <c r="O9" i="2"/>
  <c r="O6" i="2"/>
  <c r="I28" i="1" l="1"/>
  <c r="C26" i="1"/>
  <c r="C28" i="1" s="1"/>
  <c r="C21" i="1"/>
  <c r="D22" i="1"/>
  <c r="D23" i="1"/>
  <c r="D25" i="1"/>
  <c r="D27" i="1"/>
  <c r="D30" i="1"/>
  <c r="D16" i="1"/>
  <c r="N16" i="2"/>
  <c r="N13" i="2"/>
  <c r="N11" i="2"/>
  <c r="N10" i="2"/>
  <c r="N9" i="2"/>
  <c r="N8" i="2"/>
  <c r="N6" i="2"/>
  <c r="O10" i="2" l="1"/>
  <c r="N7" i="2"/>
  <c r="G20" i="11"/>
  <c r="H20" i="11" l="1"/>
  <c r="E14" i="11"/>
  <c r="E8" i="11"/>
  <c r="E9" i="11"/>
  <c r="E10" i="11"/>
  <c r="E11" i="11"/>
  <c r="E12" i="11"/>
  <c r="E7" i="11"/>
  <c r="G7" i="11" s="1"/>
  <c r="D14" i="11"/>
  <c r="D8" i="11"/>
  <c r="I8" i="11" s="1"/>
  <c r="D9" i="11"/>
  <c r="I9" i="11" s="1"/>
  <c r="J9" i="11" s="1"/>
  <c r="D10" i="11"/>
  <c r="I10" i="11" s="1"/>
  <c r="J10" i="11" s="1"/>
  <c r="D11" i="11"/>
  <c r="I11" i="11" s="1"/>
  <c r="D12" i="11"/>
  <c r="I12" i="11" s="1"/>
  <c r="D7" i="11"/>
  <c r="I7" i="11" s="1"/>
  <c r="C14" i="11"/>
  <c r="C8" i="11"/>
  <c r="C9" i="11"/>
  <c r="C10" i="11"/>
  <c r="G10" i="11" s="1"/>
  <c r="C11" i="11"/>
  <c r="C12" i="11"/>
  <c r="B18" i="11"/>
  <c r="B13" i="11"/>
  <c r="J12" i="11" l="1"/>
  <c r="G8" i="11"/>
  <c r="H8" i="11" s="1"/>
  <c r="G11" i="11"/>
  <c r="H11" i="11" s="1"/>
  <c r="J7" i="11"/>
  <c r="I13" i="11"/>
  <c r="J13" i="11" s="1"/>
  <c r="J8" i="11"/>
  <c r="G12" i="11"/>
  <c r="H12" i="11" s="1"/>
  <c r="J11" i="11"/>
  <c r="D18" i="11"/>
  <c r="I14" i="11"/>
  <c r="J14" i="11" s="1"/>
  <c r="C18" i="11"/>
  <c r="G14" i="11"/>
  <c r="H14" i="11" s="1"/>
  <c r="G9" i="11"/>
  <c r="H7" i="11"/>
  <c r="H9" i="11"/>
  <c r="E18" i="11"/>
  <c r="H10" i="11"/>
  <c r="E13" i="11"/>
  <c r="D13" i="11"/>
  <c r="D22" i="11" s="1"/>
  <c r="C13" i="11"/>
  <c r="B22" i="11"/>
  <c r="G7" i="2"/>
  <c r="R7" i="1" s="1"/>
  <c r="P16" i="1"/>
  <c r="R13" i="1"/>
  <c r="R8" i="1"/>
  <c r="R9" i="1"/>
  <c r="R10" i="1"/>
  <c r="R11" i="1"/>
  <c r="R6" i="1"/>
  <c r="F7" i="2"/>
  <c r="O7" i="1"/>
  <c r="P7" i="1" s="1"/>
  <c r="E7" i="2"/>
  <c r="M16" i="1"/>
  <c r="O13" i="1"/>
  <c r="P13" i="1" s="1"/>
  <c r="O8" i="1"/>
  <c r="P8" i="1" s="1"/>
  <c r="O9" i="1"/>
  <c r="P9" i="1" s="1"/>
  <c r="O10" i="1"/>
  <c r="P10" i="1" s="1"/>
  <c r="O11" i="1"/>
  <c r="P11" i="1" s="1"/>
  <c r="O6" i="1"/>
  <c r="P6" i="1" s="1"/>
  <c r="L13" i="1"/>
  <c r="M13" i="1" s="1"/>
  <c r="L7" i="1"/>
  <c r="M7" i="1" s="1"/>
  <c r="L8" i="1"/>
  <c r="M8" i="1" s="1"/>
  <c r="L9" i="1"/>
  <c r="M9" i="1" s="1"/>
  <c r="L10" i="1"/>
  <c r="M10" i="1" s="1"/>
  <c r="L11" i="1"/>
  <c r="M11" i="1" s="1"/>
  <c r="L6" i="1"/>
  <c r="M6" i="1" s="1"/>
  <c r="G18" i="11" l="1"/>
  <c r="H18" i="11" s="1"/>
  <c r="S9" i="1"/>
  <c r="T9" i="1"/>
  <c r="T7" i="1"/>
  <c r="S7" i="1"/>
  <c r="S6" i="1"/>
  <c r="T6" i="1"/>
  <c r="S8" i="1"/>
  <c r="T8" i="1"/>
  <c r="S13" i="1"/>
  <c r="T13" i="1"/>
  <c r="T10" i="1"/>
  <c r="C22" i="11"/>
  <c r="G22" i="11" s="1"/>
  <c r="H22" i="11" s="1"/>
  <c r="G13" i="11"/>
  <c r="H13" i="11" s="1"/>
  <c r="E22" i="11"/>
  <c r="R12" i="1"/>
  <c r="O12" i="1"/>
  <c r="L12" i="1"/>
  <c r="O20" i="3"/>
  <c r="G29" i="3"/>
  <c r="O21" i="3"/>
  <c r="O22" i="3"/>
  <c r="O23" i="3"/>
  <c r="O24" i="3"/>
  <c r="O25" i="3"/>
  <c r="G7" i="10"/>
  <c r="G6" i="10"/>
  <c r="G5" i="10"/>
  <c r="F9" i="10"/>
  <c r="F8" i="10"/>
  <c r="H8" i="10" s="1"/>
  <c r="F7" i="10"/>
  <c r="F6" i="10"/>
  <c r="F5" i="10"/>
  <c r="C15" i="10"/>
  <c r="C28" i="10"/>
  <c r="C22" i="10"/>
  <c r="C7" i="10"/>
  <c r="R14" i="1" l="1"/>
  <c r="T12" i="1"/>
  <c r="H6" i="10"/>
  <c r="F10" i="10"/>
  <c r="H7" i="10"/>
  <c r="O14" i="1"/>
  <c r="L14" i="1"/>
  <c r="G10" i="10"/>
  <c r="H5" i="10"/>
  <c r="H10" i="9" s="1"/>
  <c r="H9" i="10"/>
  <c r="C35" i="10"/>
  <c r="C37" i="10" s="1"/>
  <c r="L17" i="9"/>
  <c r="L19" i="9"/>
  <c r="L24" i="9"/>
  <c r="L26" i="9"/>
  <c r="L27" i="9"/>
  <c r="K17" i="9"/>
  <c r="K19" i="9"/>
  <c r="K24" i="9"/>
  <c r="K26" i="9"/>
  <c r="K10" i="9"/>
  <c r="L10" i="9"/>
  <c r="I10" i="9"/>
  <c r="J10" i="9"/>
  <c r="I17" i="9"/>
  <c r="J17" i="9"/>
  <c r="I19" i="9"/>
  <c r="J19" i="9"/>
  <c r="I24" i="9"/>
  <c r="J24" i="9"/>
  <c r="I26" i="9"/>
  <c r="J26" i="9"/>
  <c r="H17" i="9"/>
  <c r="H19" i="9"/>
  <c r="H24" i="9"/>
  <c r="H26" i="9"/>
  <c r="T14" i="1" l="1"/>
  <c r="H10" i="10"/>
  <c r="C41" i="10"/>
  <c r="C47" i="10" s="1"/>
  <c r="F11" i="9"/>
  <c r="F35" i="9"/>
  <c r="E34" i="9"/>
  <c r="D34" i="9"/>
  <c r="C34" i="9"/>
  <c r="F31" i="9"/>
  <c r="E31" i="9"/>
  <c r="D31" i="9"/>
  <c r="C31" i="9"/>
  <c r="E11" i="9"/>
  <c r="D11" i="9"/>
  <c r="C11" i="9"/>
  <c r="H11" i="9" l="1"/>
  <c r="C45" i="10"/>
  <c r="I31" i="9"/>
  <c r="E35" i="9"/>
  <c r="I34" i="9"/>
  <c r="K34" i="9"/>
  <c r="J34" i="9"/>
  <c r="K31" i="9"/>
  <c r="L31" i="9"/>
  <c r="J31" i="9"/>
  <c r="D35" i="9"/>
  <c r="H34" i="9"/>
  <c r="I11" i="9"/>
  <c r="C35" i="9"/>
  <c r="L34" i="9"/>
  <c r="K11" i="9"/>
  <c r="L11" i="9"/>
  <c r="J11" i="9"/>
  <c r="E32" i="9"/>
  <c r="C32" i="9"/>
  <c r="D32" i="9"/>
  <c r="H31" i="9"/>
  <c r="F32" i="9"/>
  <c r="O35" i="9" l="1"/>
  <c r="N32" i="9"/>
  <c r="K35" i="9"/>
  <c r="Q32" i="9"/>
  <c r="L35" i="9"/>
  <c r="I35" i="9"/>
  <c r="E37" i="9"/>
  <c r="I32" i="9"/>
  <c r="J32" i="9"/>
  <c r="K32" i="9"/>
  <c r="L32" i="9"/>
  <c r="C37" i="9"/>
  <c r="J35" i="9"/>
  <c r="H35" i="9"/>
  <c r="H32" i="9"/>
  <c r="D37" i="9"/>
  <c r="F37" i="9"/>
  <c r="K21" i="5"/>
  <c r="H21" i="5"/>
  <c r="E21" i="5"/>
  <c r="E12" i="5"/>
  <c r="H12" i="5"/>
  <c r="H25" i="5" s="1"/>
  <c r="H37" i="9" l="1"/>
  <c r="O37" i="9"/>
  <c r="O26" i="9"/>
  <c r="O24" i="9"/>
  <c r="O10" i="9"/>
  <c r="O17" i="9"/>
  <c r="O19" i="9"/>
  <c r="O34" i="9"/>
  <c r="O31" i="9"/>
  <c r="O11" i="9"/>
  <c r="N10" i="9"/>
  <c r="N26" i="9"/>
  <c r="N19" i="9"/>
  <c r="N37" i="9"/>
  <c r="N24" i="9"/>
  <c r="N17" i="9"/>
  <c r="N11" i="9"/>
  <c r="N34" i="9"/>
  <c r="N31" i="9"/>
  <c r="N35" i="9"/>
  <c r="P26" i="9"/>
  <c r="P17" i="9"/>
  <c r="P24" i="9"/>
  <c r="P10" i="9"/>
  <c r="P37" i="9"/>
  <c r="P19" i="9"/>
  <c r="P11" i="9"/>
  <c r="P34" i="9"/>
  <c r="P31" i="9"/>
  <c r="Q37" i="9"/>
  <c r="Q26" i="9"/>
  <c r="Q34" i="9"/>
  <c r="Q24" i="9"/>
  <c r="Q10" i="9"/>
  <c r="Q17" i="9"/>
  <c r="Q19" i="9"/>
  <c r="Q11" i="9"/>
  <c r="Q31" i="9"/>
  <c r="Q35" i="9"/>
  <c r="O32" i="9"/>
  <c r="P35" i="9"/>
  <c r="P32" i="9"/>
  <c r="I37" i="9"/>
  <c r="K37" i="9"/>
  <c r="L37" i="9"/>
  <c r="J37" i="9"/>
  <c r="F9" i="7"/>
  <c r="C9" i="7"/>
  <c r="D9" i="7"/>
  <c r="F13" i="7"/>
  <c r="D18" i="7"/>
  <c r="F14" i="7"/>
  <c r="F15" i="7"/>
  <c r="F16" i="7"/>
  <c r="F18" i="7" l="1"/>
  <c r="C29" i="6"/>
  <c r="E29" i="6"/>
  <c r="K29" i="6"/>
  <c r="N29" i="6"/>
  <c r="S29" i="6"/>
  <c r="C32" i="6"/>
  <c r="R32" i="6" s="1"/>
  <c r="E32" i="6"/>
  <c r="H32" i="6"/>
  <c r="S32" i="6"/>
  <c r="S34" i="6"/>
  <c r="C12" i="5"/>
  <c r="K12" i="5"/>
  <c r="N12" i="5"/>
  <c r="N25" i="5" s="1"/>
  <c r="R12" i="5"/>
  <c r="R25" i="5" s="1"/>
  <c r="R21" i="5"/>
  <c r="O23" i="5" l="1"/>
  <c r="O17" i="5"/>
  <c r="O9" i="5"/>
  <c r="O19" i="5"/>
  <c r="O14" i="5"/>
  <c r="O10" i="5"/>
  <c r="O15" i="5"/>
  <c r="O7" i="5"/>
  <c r="O11" i="5"/>
  <c r="O25" i="5"/>
  <c r="O16" i="5"/>
  <c r="O8" i="5"/>
  <c r="O6" i="5"/>
  <c r="P25" i="5"/>
  <c r="G32" i="6"/>
  <c r="M29" i="6"/>
  <c r="G29" i="6"/>
  <c r="J29" i="6"/>
  <c r="J32" i="6"/>
  <c r="M32" i="6"/>
  <c r="R29" i="6"/>
  <c r="P29" i="6"/>
  <c r="Q29" i="6" s="1"/>
  <c r="N34" i="6"/>
  <c r="H34" i="6"/>
  <c r="K34" i="6"/>
  <c r="E34" i="6"/>
  <c r="C34" i="6"/>
  <c r="D32" i="6" s="1"/>
  <c r="E25" i="5"/>
  <c r="K25" i="5"/>
  <c r="I6" i="5"/>
  <c r="C25" i="5"/>
  <c r="F27" i="6"/>
  <c r="F20" i="6"/>
  <c r="F14" i="6"/>
  <c r="F17" i="6"/>
  <c r="T5" i="6"/>
  <c r="I6" i="6" l="1"/>
  <c r="J34" i="6"/>
  <c r="D7" i="5"/>
  <c r="D6" i="5"/>
  <c r="R34" i="6"/>
  <c r="P34" i="6"/>
  <c r="Q34" i="6" s="1"/>
  <c r="Q25" i="5"/>
  <c r="D27" i="6"/>
  <c r="L6" i="5"/>
  <c r="M25" i="5"/>
  <c r="L19" i="5"/>
  <c r="M34" i="6"/>
  <c r="F6" i="5"/>
  <c r="G25" i="5"/>
  <c r="J25" i="5"/>
  <c r="I20" i="6"/>
  <c r="F7" i="6"/>
  <c r="G34" i="6"/>
  <c r="O29" i="6"/>
  <c r="L29" i="6"/>
  <c r="I14" i="6"/>
  <c r="I15" i="6"/>
  <c r="I18" i="6"/>
  <c r="I28" i="6"/>
  <c r="F6" i="6"/>
  <c r="F26" i="6"/>
  <c r="I17" i="6"/>
  <c r="F28" i="6"/>
  <c r="I29" i="6"/>
  <c r="I5" i="6"/>
  <c r="I26" i="6"/>
  <c r="F13" i="6"/>
  <c r="F18" i="6"/>
  <c r="I7" i="6"/>
  <c r="I19" i="6"/>
  <c r="D23" i="6"/>
  <c r="D8" i="6"/>
  <c r="F9" i="6"/>
  <c r="F8" i="6"/>
  <c r="I21" i="6"/>
  <c r="I8" i="6"/>
  <c r="I10" i="6"/>
  <c r="I24" i="6"/>
  <c r="F12" i="6"/>
  <c r="F22" i="6"/>
  <c r="F15" i="6"/>
  <c r="F32" i="6"/>
  <c r="I25" i="6"/>
  <c r="L34" i="6"/>
  <c r="L8" i="6"/>
  <c r="O7" i="6"/>
  <c r="O11" i="6"/>
  <c r="O15" i="6"/>
  <c r="O19" i="6"/>
  <c r="O23" i="6"/>
  <c r="O27" i="6"/>
  <c r="O12" i="6"/>
  <c r="O24" i="6"/>
  <c r="O34" i="6"/>
  <c r="O9" i="6"/>
  <c r="O17" i="6"/>
  <c r="O25" i="6"/>
  <c r="O6" i="6"/>
  <c r="O10" i="6"/>
  <c r="O14" i="6"/>
  <c r="O18" i="6"/>
  <c r="O22" i="6"/>
  <c r="O26" i="6"/>
  <c r="O8" i="6"/>
  <c r="O16" i="6"/>
  <c r="O20" i="6"/>
  <c r="O28" i="6"/>
  <c r="O13" i="6"/>
  <c r="O21" i="6"/>
  <c r="O5" i="6"/>
  <c r="O32" i="6"/>
  <c r="L5" i="6"/>
  <c r="L25" i="6"/>
  <c r="T10" i="6"/>
  <c r="T15" i="6"/>
  <c r="T17" i="6"/>
  <c r="L28" i="6"/>
  <c r="L10" i="6"/>
  <c r="T11" i="6"/>
  <c r="T19" i="6"/>
  <c r="L7" i="6"/>
  <c r="L13" i="6"/>
  <c r="T9" i="6"/>
  <c r="T21" i="6"/>
  <c r="T27" i="6"/>
  <c r="T8" i="6"/>
  <c r="L23" i="6"/>
  <c r="T28" i="6"/>
  <c r="L12" i="6"/>
  <c r="T16" i="6"/>
  <c r="T20" i="6"/>
  <c r="T25" i="6"/>
  <c r="L32" i="6"/>
  <c r="T23" i="6"/>
  <c r="L17" i="6"/>
  <c r="L16" i="6"/>
  <c r="T7" i="6"/>
  <c r="L14" i="6"/>
  <c r="L22" i="6"/>
  <c r="T6" i="6"/>
  <c r="L11" i="6"/>
  <c r="T14" i="6"/>
  <c r="L19" i="6"/>
  <c r="T22" i="6"/>
  <c r="T26" i="6"/>
  <c r="L24" i="6"/>
  <c r="T32" i="6"/>
  <c r="I16" i="6"/>
  <c r="I9" i="6"/>
  <c r="I11" i="6"/>
  <c r="I13" i="6"/>
  <c r="I34" i="6"/>
  <c r="I12" i="6"/>
  <c r="I22" i="6"/>
  <c r="I23" i="6"/>
  <c r="I32" i="6"/>
  <c r="I27" i="6"/>
  <c r="T34" i="6"/>
  <c r="L6" i="6"/>
  <c r="L18" i="6"/>
  <c r="L26" i="6"/>
  <c r="L9" i="6"/>
  <c r="T12" i="6"/>
  <c r="L15" i="6"/>
  <c r="T18" i="6"/>
  <c r="L21" i="6"/>
  <c r="T24" i="6"/>
  <c r="L27" i="6"/>
  <c r="T13" i="6"/>
  <c r="L20" i="6"/>
  <c r="T29" i="6"/>
  <c r="F21" i="6"/>
  <c r="F10" i="6"/>
  <c r="F5" i="6"/>
  <c r="F11" i="6"/>
  <c r="F23" i="6"/>
  <c r="F25" i="6"/>
  <c r="F16" i="6"/>
  <c r="F24" i="6"/>
  <c r="F34" i="6"/>
  <c r="F19" i="6"/>
  <c r="F29" i="6"/>
  <c r="D21" i="6"/>
  <c r="D13" i="6"/>
  <c r="D19" i="6"/>
  <c r="D25" i="6"/>
  <c r="D11" i="6"/>
  <c r="D17" i="6"/>
  <c r="D29" i="6"/>
  <c r="D9" i="6"/>
  <c r="D7" i="6"/>
  <c r="D15" i="6"/>
  <c r="D5" i="6"/>
  <c r="D6" i="6"/>
  <c r="D10" i="6"/>
  <c r="D14" i="6"/>
  <c r="D18" i="6"/>
  <c r="D22" i="6"/>
  <c r="D26" i="6"/>
  <c r="D34" i="6"/>
  <c r="D12" i="6"/>
  <c r="D16" i="6"/>
  <c r="D20" i="6"/>
  <c r="D24" i="6"/>
  <c r="D28" i="6"/>
  <c r="I8" i="5"/>
  <c r="I23" i="5"/>
  <c r="I17" i="5"/>
  <c r="I7" i="5"/>
  <c r="I10" i="5"/>
  <c r="I11" i="5"/>
  <c r="F8" i="5"/>
  <c r="F23" i="5"/>
  <c r="F9" i="5"/>
  <c r="F17" i="5"/>
  <c r="F15" i="5"/>
  <c r="F14" i="5"/>
  <c r="F10" i="5"/>
  <c r="F7" i="5"/>
  <c r="F16" i="5"/>
  <c r="F11" i="5"/>
  <c r="D14" i="5"/>
  <c r="D15" i="5"/>
  <c r="S16" i="5"/>
  <c r="L11" i="5"/>
  <c r="S11" i="5"/>
  <c r="L17" i="5"/>
  <c r="S8" i="5"/>
  <c r="S17" i="5"/>
  <c r="S9" i="5"/>
  <c r="S15" i="5"/>
  <c r="L10" i="5"/>
  <c r="S14" i="5"/>
  <c r="S6" i="5"/>
  <c r="L7" i="5"/>
  <c r="S10" i="5"/>
  <c r="L16" i="5"/>
  <c r="S23" i="5"/>
  <c r="S7" i="5"/>
  <c r="L9" i="5"/>
  <c r="L8" i="5"/>
  <c r="L15" i="5"/>
  <c r="L23" i="5"/>
  <c r="I15" i="5"/>
  <c r="I9" i="5"/>
  <c r="I16" i="5"/>
  <c r="I14" i="5"/>
  <c r="D9" i="5"/>
  <c r="D10" i="5"/>
  <c r="D16" i="5"/>
  <c r="D17" i="5"/>
  <c r="D11" i="5"/>
  <c r="D8" i="5"/>
  <c r="D23" i="5"/>
  <c r="O4" i="3"/>
  <c r="O5" i="3"/>
  <c r="O6" i="3"/>
  <c r="O7" i="3"/>
  <c r="O8" i="3"/>
  <c r="O9" i="3"/>
  <c r="O10" i="3"/>
  <c r="C11" i="3"/>
  <c r="C13" i="3" s="1"/>
  <c r="D11" i="3"/>
  <c r="D13" i="3" s="1"/>
  <c r="E11" i="3"/>
  <c r="E13" i="3" s="1"/>
  <c r="E16" i="3" s="1"/>
  <c r="F11" i="3"/>
  <c r="F13" i="3" s="1"/>
  <c r="G11" i="3"/>
  <c r="G13" i="3" s="1"/>
  <c r="G16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2" i="3"/>
  <c r="O15" i="3"/>
  <c r="O26" i="3"/>
  <c r="O65" i="3" s="1"/>
  <c r="C29" i="3"/>
  <c r="E29" i="3"/>
  <c r="I29" i="3"/>
  <c r="J29" i="3"/>
  <c r="K29" i="3"/>
  <c r="L29" i="3"/>
  <c r="M29" i="3"/>
  <c r="N29" i="3"/>
  <c r="Q29" i="3"/>
  <c r="R29" i="3"/>
  <c r="O40" i="3"/>
  <c r="O41" i="3"/>
  <c r="O42" i="3"/>
  <c r="C43" i="3"/>
  <c r="D43" i="3"/>
  <c r="E43" i="3"/>
  <c r="F43" i="3"/>
  <c r="G43" i="3"/>
  <c r="H43" i="3"/>
  <c r="I43" i="3"/>
  <c r="J43" i="3"/>
  <c r="K43" i="3"/>
  <c r="L43" i="3"/>
  <c r="L55" i="3" s="1"/>
  <c r="M43" i="3"/>
  <c r="M55" i="3" s="1"/>
  <c r="N43" i="3"/>
  <c r="C52" i="3"/>
  <c r="D52" i="3"/>
  <c r="E52" i="3"/>
  <c r="F52" i="3"/>
  <c r="G52" i="3"/>
  <c r="G64" i="3" s="1"/>
  <c r="G66" i="3" s="1"/>
  <c r="H52" i="3"/>
  <c r="I52" i="3"/>
  <c r="J52" i="3"/>
  <c r="K52" i="3"/>
  <c r="M52" i="3"/>
  <c r="N52" i="3"/>
  <c r="D56" i="3"/>
  <c r="E56" i="3"/>
  <c r="F56" i="3"/>
  <c r="G56" i="3"/>
  <c r="H56" i="3"/>
  <c r="I56" i="3"/>
  <c r="J56" i="3"/>
  <c r="K56" i="3"/>
  <c r="L56" i="3"/>
  <c r="N56" i="3"/>
  <c r="D57" i="3"/>
  <c r="E57" i="3"/>
  <c r="F57" i="3"/>
  <c r="G57" i="3"/>
  <c r="H57" i="3"/>
  <c r="I57" i="3"/>
  <c r="J57" i="3"/>
  <c r="K57" i="3"/>
  <c r="L57" i="3"/>
  <c r="M57" i="3"/>
  <c r="N57" i="3"/>
  <c r="D58" i="3"/>
  <c r="E58" i="3"/>
  <c r="F58" i="3"/>
  <c r="G58" i="3"/>
  <c r="H58" i="3"/>
  <c r="I58" i="3"/>
  <c r="J58" i="3"/>
  <c r="K58" i="3"/>
  <c r="L58" i="3"/>
  <c r="M58" i="3"/>
  <c r="N58" i="3"/>
  <c r="C61" i="3"/>
  <c r="D61" i="3"/>
  <c r="E61" i="3"/>
  <c r="F61" i="3"/>
  <c r="G61" i="3"/>
  <c r="H61" i="3"/>
  <c r="I61" i="3"/>
  <c r="J61" i="3"/>
  <c r="K61" i="3"/>
  <c r="L61" i="3"/>
  <c r="M61" i="3"/>
  <c r="N61" i="3"/>
  <c r="M64" i="3" l="1"/>
  <c r="M66" i="3" s="1"/>
  <c r="N55" i="3"/>
  <c r="H55" i="3"/>
  <c r="D55" i="3"/>
  <c r="D16" i="3"/>
  <c r="D60" i="3"/>
  <c r="J60" i="3"/>
  <c r="J62" i="3" s="1"/>
  <c r="N32" i="3"/>
  <c r="N64" i="3"/>
  <c r="N66" i="3" s="1"/>
  <c r="C55" i="3"/>
  <c r="E64" i="3"/>
  <c r="E66" i="3" s="1"/>
  <c r="C34" i="3"/>
  <c r="C60" i="3"/>
  <c r="C62" i="3" s="1"/>
  <c r="K32" i="3"/>
  <c r="K64" i="3"/>
  <c r="K66" i="3" s="1"/>
  <c r="J32" i="3"/>
  <c r="J64" i="3"/>
  <c r="J66" i="3" s="1"/>
  <c r="I32" i="3"/>
  <c r="I64" i="3"/>
  <c r="I66" i="3" s="1"/>
  <c r="L32" i="3"/>
  <c r="L64" i="3"/>
  <c r="L66" i="3" s="1"/>
  <c r="C32" i="3"/>
  <c r="C64" i="3"/>
  <c r="C66" i="3" s="1"/>
  <c r="M32" i="3"/>
  <c r="N60" i="3"/>
  <c r="F16" i="3"/>
  <c r="F60" i="3"/>
  <c r="F62" i="3" s="1"/>
  <c r="J55" i="3"/>
  <c r="O58" i="3"/>
  <c r="F55" i="3"/>
  <c r="K55" i="3"/>
  <c r="L34" i="3"/>
  <c r="L60" i="3"/>
  <c r="L62" i="3" s="1"/>
  <c r="O11" i="3"/>
  <c r="P6" i="3" s="1"/>
  <c r="M34" i="3"/>
  <c r="M16" i="3"/>
  <c r="L16" i="3"/>
  <c r="H16" i="3"/>
  <c r="I34" i="3"/>
  <c r="I16" i="3"/>
  <c r="N62" i="3"/>
  <c r="M60" i="3"/>
  <c r="M62" i="3" s="1"/>
  <c r="I60" i="3"/>
  <c r="I62" i="3" s="1"/>
  <c r="E60" i="3"/>
  <c r="E62" i="3" s="1"/>
  <c r="P7" i="3"/>
  <c r="G60" i="3"/>
  <c r="G62" i="3" s="1"/>
  <c r="H60" i="3"/>
  <c r="H62" i="3" s="1"/>
  <c r="O43" i="3"/>
  <c r="K16" i="3"/>
  <c r="K34" i="3"/>
  <c r="C16" i="3"/>
  <c r="O61" i="3"/>
  <c r="K60" i="3"/>
  <c r="K62" i="3" s="1"/>
  <c r="G55" i="3"/>
  <c r="N16" i="3"/>
  <c r="N34" i="3"/>
  <c r="J16" i="3"/>
  <c r="J34" i="3"/>
  <c r="F29" i="3"/>
  <c r="D29" i="3"/>
  <c r="O27" i="3"/>
  <c r="P20" i="3" s="1"/>
  <c r="O56" i="3"/>
  <c r="H29" i="3"/>
  <c r="O52" i="3"/>
  <c r="O57" i="3"/>
  <c r="G32" i="3"/>
  <c r="G35" i="3" s="1"/>
  <c r="G34" i="3"/>
  <c r="E32" i="3"/>
  <c r="E35" i="3" s="1"/>
  <c r="E34" i="3"/>
  <c r="I55" i="3"/>
  <c r="E55" i="3"/>
  <c r="P12" i="3"/>
  <c r="H7" i="4"/>
  <c r="H15" i="4"/>
  <c r="C16" i="4"/>
  <c r="D8" i="4" s="1"/>
  <c r="E16" i="4"/>
  <c r="F5" i="4" s="1"/>
  <c r="G16" i="4"/>
  <c r="I16" i="4"/>
  <c r="J7" i="4" s="1"/>
  <c r="K16" i="4"/>
  <c r="L8" i="4" s="1"/>
  <c r="M16" i="4"/>
  <c r="N5" i="4" s="1"/>
  <c r="O16" i="4"/>
  <c r="P6" i="4" s="1"/>
  <c r="O20" i="4"/>
  <c r="O21" i="4"/>
  <c r="O22" i="4"/>
  <c r="Q22" i="4" s="1"/>
  <c r="O23" i="4"/>
  <c r="Q23" i="4" s="1"/>
  <c r="O24" i="4"/>
  <c r="Q24" i="4" s="1"/>
  <c r="O25" i="4"/>
  <c r="O26" i="4"/>
  <c r="Q26" i="4" s="1"/>
  <c r="O27" i="4"/>
  <c r="Q27" i="4" s="1"/>
  <c r="O28" i="4"/>
  <c r="Q28" i="4" s="1"/>
  <c r="O29" i="4"/>
  <c r="O30" i="4"/>
  <c r="Q30" i="4" s="1"/>
  <c r="C31" i="4"/>
  <c r="D22" i="4" s="1"/>
  <c r="E31" i="4"/>
  <c r="F21" i="4" s="1"/>
  <c r="G31" i="4"/>
  <c r="H20" i="4" s="1"/>
  <c r="I31" i="4"/>
  <c r="J23" i="4" s="1"/>
  <c r="K31" i="4"/>
  <c r="L20" i="4" s="1"/>
  <c r="M31" i="4"/>
  <c r="N21" i="4" s="1"/>
  <c r="H6" i="4" l="1"/>
  <c r="H5" i="4"/>
  <c r="F10" i="4"/>
  <c r="P5" i="3"/>
  <c r="P11" i="3"/>
  <c r="P4" i="3"/>
  <c r="C35" i="3"/>
  <c r="I35" i="3"/>
  <c r="K35" i="3"/>
  <c r="N35" i="3"/>
  <c r="P8" i="3"/>
  <c r="P9" i="3"/>
  <c r="F34" i="3"/>
  <c r="F64" i="3"/>
  <c r="F66" i="3" s="1"/>
  <c r="H32" i="3"/>
  <c r="H35" i="3" s="1"/>
  <c r="H64" i="3"/>
  <c r="H66" i="3" s="1"/>
  <c r="J35" i="3"/>
  <c r="L35" i="3"/>
  <c r="D32" i="3"/>
  <c r="D35" i="3" s="1"/>
  <c r="D64" i="3"/>
  <c r="D66" i="3" s="1"/>
  <c r="M35" i="3"/>
  <c r="L22" i="4"/>
  <c r="O31" i="4"/>
  <c r="P20" i="4" s="1"/>
  <c r="D9" i="4"/>
  <c r="D15" i="4"/>
  <c r="D13" i="4"/>
  <c r="O13" i="3"/>
  <c r="D34" i="3"/>
  <c r="H34" i="3"/>
  <c r="P10" i="3"/>
  <c r="O55" i="3"/>
  <c r="P55" i="3" s="1"/>
  <c r="H11" i="4"/>
  <c r="F14" i="4"/>
  <c r="H13" i="4"/>
  <c r="D11" i="4"/>
  <c r="F8" i="4"/>
  <c r="D5" i="4"/>
  <c r="F12" i="4"/>
  <c r="H9" i="4"/>
  <c r="D7" i="4"/>
  <c r="N30" i="4"/>
  <c r="J14" i="4"/>
  <c r="J12" i="4"/>
  <c r="J10" i="4"/>
  <c r="J8" i="4"/>
  <c r="J6" i="4"/>
  <c r="Q20" i="4"/>
  <c r="F6" i="4"/>
  <c r="F30" i="4"/>
  <c r="F32" i="3"/>
  <c r="F35" i="3" s="1"/>
  <c r="P11" i="4"/>
  <c r="P9" i="4"/>
  <c r="P15" i="4"/>
  <c r="P7" i="4"/>
  <c r="P13" i="4"/>
  <c r="P5" i="4"/>
  <c r="O29" i="3"/>
  <c r="N12" i="4"/>
  <c r="N8" i="4"/>
  <c r="N6" i="4"/>
  <c r="N14" i="4"/>
  <c r="N10" i="4"/>
  <c r="P26" i="3"/>
  <c r="L9" i="4"/>
  <c r="L11" i="4"/>
  <c r="L13" i="4"/>
  <c r="L5" i="4"/>
  <c r="L15" i="4"/>
  <c r="L7" i="4"/>
  <c r="P28" i="3"/>
  <c r="P27" i="3"/>
  <c r="P23" i="3"/>
  <c r="P21" i="3"/>
  <c r="P24" i="3"/>
  <c r="P25" i="3"/>
  <c r="P22" i="3"/>
  <c r="P31" i="3"/>
  <c r="D62" i="3"/>
  <c r="O62" i="3" s="1"/>
  <c r="O60" i="3"/>
  <c r="J30" i="4"/>
  <c r="Q29" i="4"/>
  <c r="L29" i="4"/>
  <c r="D29" i="4"/>
  <c r="N28" i="4"/>
  <c r="F28" i="4"/>
  <c r="H27" i="4"/>
  <c r="J26" i="4"/>
  <c r="Q25" i="4"/>
  <c r="L25" i="4"/>
  <c r="D25" i="4"/>
  <c r="N24" i="4"/>
  <c r="F24" i="4"/>
  <c r="H23" i="4"/>
  <c r="J22" i="4"/>
  <c r="Q21" i="4"/>
  <c r="L21" i="4"/>
  <c r="D21" i="4"/>
  <c r="N20" i="4"/>
  <c r="F20" i="4"/>
  <c r="H30" i="4"/>
  <c r="J29" i="4"/>
  <c r="L28" i="4"/>
  <c r="D28" i="4"/>
  <c r="N27" i="4"/>
  <c r="F27" i="4"/>
  <c r="H26" i="4"/>
  <c r="J25" i="4"/>
  <c r="L24" i="4"/>
  <c r="D24" i="4"/>
  <c r="N23" i="4"/>
  <c r="F23" i="4"/>
  <c r="H22" i="4"/>
  <c r="J21" i="4"/>
  <c r="D20" i="4"/>
  <c r="N15" i="4"/>
  <c r="F15" i="4"/>
  <c r="L14" i="4"/>
  <c r="D14" i="4"/>
  <c r="J13" i="4"/>
  <c r="P12" i="4"/>
  <c r="H12" i="4"/>
  <c r="N11" i="4"/>
  <c r="F11" i="4"/>
  <c r="L10" i="4"/>
  <c r="D10" i="4"/>
  <c r="J9" i="4"/>
  <c r="P8" i="4"/>
  <c r="H8" i="4"/>
  <c r="N7" i="4"/>
  <c r="F7" i="4"/>
  <c r="L6" i="4"/>
  <c r="D6" i="4"/>
  <c r="J5" i="4"/>
  <c r="H29" i="4"/>
  <c r="J28" i="4"/>
  <c r="L27" i="4"/>
  <c r="D27" i="4"/>
  <c r="N26" i="4"/>
  <c r="F26" i="4"/>
  <c r="H25" i="4"/>
  <c r="J24" i="4"/>
  <c r="L23" i="4"/>
  <c r="D23" i="4"/>
  <c r="N22" i="4"/>
  <c r="F22" i="4"/>
  <c r="H21" i="4"/>
  <c r="J20" i="4"/>
  <c r="L30" i="4"/>
  <c r="D30" i="4"/>
  <c r="N29" i="4"/>
  <c r="F29" i="4"/>
  <c r="H28" i="4"/>
  <c r="J27" i="4"/>
  <c r="L26" i="4"/>
  <c r="D26" i="4"/>
  <c r="N25" i="4"/>
  <c r="F25" i="4"/>
  <c r="H24" i="4"/>
  <c r="J15" i="4"/>
  <c r="P14" i="4"/>
  <c r="H14" i="4"/>
  <c r="N13" i="4"/>
  <c r="F13" i="4"/>
  <c r="L12" i="4"/>
  <c r="D12" i="4"/>
  <c r="J11" i="4"/>
  <c r="P10" i="4"/>
  <c r="H10" i="4"/>
  <c r="N9" i="4"/>
  <c r="F9" i="4"/>
  <c r="C6" i="1"/>
  <c r="D6" i="1" s="1"/>
  <c r="I6" i="1"/>
  <c r="J6" i="1" s="1"/>
  <c r="C7" i="1"/>
  <c r="D7" i="1" s="1"/>
  <c r="F7" i="1"/>
  <c r="G7" i="1" s="1"/>
  <c r="H7" i="1"/>
  <c r="I7" i="1"/>
  <c r="C8" i="1"/>
  <c r="D8" i="1" s="1"/>
  <c r="F8" i="1"/>
  <c r="G8" i="1" s="1"/>
  <c r="I8" i="1"/>
  <c r="C9" i="1"/>
  <c r="D9" i="1" s="1"/>
  <c r="F9" i="1"/>
  <c r="G9" i="1" s="1"/>
  <c r="I9" i="1"/>
  <c r="J9" i="1" s="1"/>
  <c r="C10" i="1"/>
  <c r="D10" i="1" s="1"/>
  <c r="F10" i="1"/>
  <c r="G10" i="1" s="1"/>
  <c r="H10" i="1"/>
  <c r="I10" i="1"/>
  <c r="Q10" i="1"/>
  <c r="S10" i="1" s="1"/>
  <c r="B11" i="1"/>
  <c r="C11" i="1"/>
  <c r="E11" i="1"/>
  <c r="F11" i="1"/>
  <c r="I11" i="1"/>
  <c r="K12" i="1"/>
  <c r="M12" i="1" s="1"/>
  <c r="N12" i="1"/>
  <c r="P12" i="1" s="1"/>
  <c r="C13" i="1"/>
  <c r="D13" i="1" s="1"/>
  <c r="F13" i="1"/>
  <c r="G13" i="1" s="1"/>
  <c r="I13" i="1"/>
  <c r="J13" i="1" s="1"/>
  <c r="G16" i="1"/>
  <c r="J16" i="1"/>
  <c r="B21" i="1"/>
  <c r="D21" i="1" s="1"/>
  <c r="E21" i="1"/>
  <c r="G21" i="1" s="1"/>
  <c r="H21" i="1"/>
  <c r="J21" i="1" s="1"/>
  <c r="B24" i="1"/>
  <c r="D24" i="1" s="1"/>
  <c r="E24" i="1"/>
  <c r="G24" i="1" s="1"/>
  <c r="H24" i="1"/>
  <c r="J24" i="1" s="1"/>
  <c r="K26" i="1"/>
  <c r="M26" i="1" s="1"/>
  <c r="N26" i="1"/>
  <c r="P26" i="1" s="1"/>
  <c r="Q26" i="1"/>
  <c r="S26" i="1" s="1"/>
  <c r="T25" i="1" l="1"/>
  <c r="T11" i="1"/>
  <c r="N28" i="1"/>
  <c r="P28" i="1" s="1"/>
  <c r="N31" i="4"/>
  <c r="O34" i="3"/>
  <c r="P34" i="3" s="1"/>
  <c r="O35" i="3"/>
  <c r="O32" i="3"/>
  <c r="P32" i="3" s="1"/>
  <c r="O64" i="3"/>
  <c r="O66" i="3" s="1"/>
  <c r="L31" i="4"/>
  <c r="P13" i="3"/>
  <c r="O16" i="3"/>
  <c r="J31" i="4"/>
  <c r="J10" i="1"/>
  <c r="K14" i="1"/>
  <c r="M14" i="1" s="1"/>
  <c r="B26" i="1"/>
  <c r="D26" i="1" s="1"/>
  <c r="G11" i="1"/>
  <c r="I12" i="1"/>
  <c r="I14" i="1" s="1"/>
  <c r="F16" i="4"/>
  <c r="H16" i="4"/>
  <c r="H31" i="4"/>
  <c r="F31" i="4"/>
  <c r="D31" i="4"/>
  <c r="K28" i="1"/>
  <c r="M28" i="1" s="1"/>
  <c r="H26" i="1"/>
  <c r="J26" i="1" s="1"/>
  <c r="F12" i="1"/>
  <c r="F14" i="1" s="1"/>
  <c r="G14" i="1" s="1"/>
  <c r="Q28" i="1"/>
  <c r="S28" i="1" s="1"/>
  <c r="E26" i="1"/>
  <c r="N14" i="1"/>
  <c r="P14" i="1" s="1"/>
  <c r="D11" i="1"/>
  <c r="J8" i="1"/>
  <c r="J7" i="1"/>
  <c r="P16" i="4"/>
  <c r="N16" i="4"/>
  <c r="P21" i="4"/>
  <c r="P24" i="4"/>
  <c r="Q31" i="4"/>
  <c r="P28" i="4"/>
  <c r="P23" i="4"/>
  <c r="P29" i="3"/>
  <c r="P22" i="4"/>
  <c r="P26" i="4"/>
  <c r="P30" i="4"/>
  <c r="L16" i="4"/>
  <c r="P29" i="4"/>
  <c r="P27" i="4"/>
  <c r="P25" i="4"/>
  <c r="D16" i="4"/>
  <c r="J16" i="4"/>
  <c r="C12" i="1"/>
  <c r="H11" i="1"/>
  <c r="J11" i="1" s="1"/>
  <c r="Q11" i="1"/>
  <c r="S11" i="1" s="1"/>
  <c r="B7" i="2"/>
  <c r="C7" i="2"/>
  <c r="D7" i="2"/>
  <c r="D12" i="2" s="1"/>
  <c r="T8" i="2"/>
  <c r="T9" i="2"/>
  <c r="B10" i="2"/>
  <c r="T10" i="2" s="1"/>
  <c r="C10" i="2"/>
  <c r="D10" i="2"/>
  <c r="B11" i="2"/>
  <c r="T11" i="2" s="1"/>
  <c r="C11" i="2"/>
  <c r="D11" i="2"/>
  <c r="E12" i="2"/>
  <c r="F12" i="2"/>
  <c r="G12" i="2"/>
  <c r="H12" i="2"/>
  <c r="I12" i="2"/>
  <c r="J12" i="2"/>
  <c r="J14" i="2" s="1"/>
  <c r="K12" i="2"/>
  <c r="L12" i="2"/>
  <c r="M12" i="2"/>
  <c r="N12" i="2"/>
  <c r="N14" i="2" s="1"/>
  <c r="P12" i="2"/>
  <c r="P14" i="2" s="1"/>
  <c r="Q12" i="2"/>
  <c r="Q14" i="2" s="1"/>
  <c r="R12" i="2"/>
  <c r="R14" i="2" s="1"/>
  <c r="S12" i="2"/>
  <c r="T13" i="2"/>
  <c r="H14" i="2"/>
  <c r="I14" i="2"/>
  <c r="K14" i="2"/>
  <c r="L14" i="2"/>
  <c r="M14" i="2"/>
  <c r="C18" i="2"/>
  <c r="D18" i="2"/>
  <c r="E18" i="2" s="1"/>
  <c r="F18" i="2" s="1"/>
  <c r="D19" i="2" l="1"/>
  <c r="D14" i="2"/>
  <c r="B12" i="2"/>
  <c r="B19" i="2" s="1"/>
  <c r="C12" i="2"/>
  <c r="S14" i="2"/>
  <c r="B28" i="1"/>
  <c r="D28" i="1" s="1"/>
  <c r="G12" i="1"/>
  <c r="H28" i="1"/>
  <c r="J28" i="1" s="1"/>
  <c r="E28" i="1"/>
  <c r="G14" i="2"/>
  <c r="F14" i="2"/>
  <c r="F19" i="2"/>
  <c r="E19" i="2"/>
  <c r="E14" i="2"/>
  <c r="P31" i="4"/>
  <c r="Q12" i="1"/>
  <c r="S12" i="1" s="1"/>
  <c r="D12" i="1"/>
  <c r="C14" i="1"/>
  <c r="D14" i="1" s="1"/>
  <c r="H12" i="1"/>
  <c r="C19" i="2"/>
  <c r="C14" i="2"/>
  <c r="B14" i="2"/>
  <c r="T7" i="2"/>
  <c r="G18" i="2"/>
  <c r="T12" i="2" l="1"/>
  <c r="T19" i="2" s="1"/>
  <c r="T14" i="2"/>
  <c r="Q14" i="1"/>
  <c r="S14" i="1" s="1"/>
  <c r="H14" i="1"/>
  <c r="J14" i="1" s="1"/>
  <c r="J12" i="1"/>
  <c r="H18" i="2"/>
  <c r="G19" i="2"/>
  <c r="I18" i="2" l="1"/>
  <c r="H19" i="2"/>
  <c r="J18" i="2" l="1"/>
  <c r="I19" i="2"/>
  <c r="K18" i="2" l="1"/>
  <c r="J19" i="2"/>
  <c r="L18" i="2" l="1"/>
  <c r="K19" i="2"/>
  <c r="M18" i="2" l="1"/>
  <c r="L19" i="2"/>
  <c r="N18" i="2" l="1"/>
  <c r="M19" i="2"/>
  <c r="N19" i="2" l="1"/>
  <c r="O18" i="2"/>
  <c r="P18" i="2" l="1"/>
  <c r="Q18" i="2" l="1"/>
  <c r="P19" i="2"/>
  <c r="R18" i="2" l="1"/>
  <c r="Q19" i="2"/>
  <c r="S18" i="2" l="1"/>
  <c r="S19" i="2" s="1"/>
  <c r="R19" i="2"/>
  <c r="O11" i="2"/>
  <c r="O12" i="2" s="1"/>
  <c r="F26" i="1"/>
  <c r="G26" i="1" l="1"/>
  <c r="F28" i="1"/>
  <c r="G28" i="1" s="1"/>
  <c r="O14" i="2"/>
  <c r="O19" i="2"/>
  <c r="S2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Secretaria de Orçamento e Gestão</author>
  </authors>
  <commentList>
    <comment ref="A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Secretaria de Orçamento e Gestão:</t>
        </r>
        <r>
          <rPr>
            <sz val="9"/>
            <color indexed="81"/>
            <rFont val="Segoe UI"/>
            <family val="2"/>
          </rPr>
          <t xml:space="preserve">
RESUMO DA FOLHA DE PAGAMENTO DO SISTEMA DE RH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Secretaria de Orçamento e Gestão</author>
  </authors>
  <commentList>
    <comment ref="A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Secretaria de Orçamento e Gestão:</t>
        </r>
        <r>
          <rPr>
            <sz val="9"/>
            <color indexed="81"/>
            <rFont val="Segoe UI"/>
            <family val="2"/>
          </rPr>
          <t xml:space="preserve">
RESUMO DA FOLHA DE PGTO EMITIDO PELO SETOR DE RH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Secretaria de Orçamento e Gestão</author>
  </authors>
  <commentList>
    <comment ref="A2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Secretaria de Orçamento e Gestão:</t>
        </r>
        <r>
          <rPr>
            <sz val="9"/>
            <color indexed="81"/>
            <rFont val="Segoe UI"/>
            <family val="2"/>
          </rPr>
          <t xml:space="preserve">
BALANCETE DA DESPESA, ULTIMA PG RESUMO
OU DESPESA LIQUIDADA POR ORGAO E UNIDADE</t>
        </r>
      </text>
    </comment>
  </commentList>
</comments>
</file>

<file path=xl/sharedStrings.xml><?xml version="1.0" encoding="utf-8"?>
<sst xmlns="http://schemas.openxmlformats.org/spreadsheetml/2006/main" count="545" uniqueCount="301">
  <si>
    <t>excluida dos cálculos da despesa com pessoal, visando assegurar esse direito constitucional aos sevidores municipais.</t>
  </si>
  <si>
    <t xml:space="preserve">Neste contexto, o que a Lei Municipal 1.262 alcançou aos servidores municipais foi a reposição inflacionária, exatamente nos mesmos percentuais do INPC, e portanto pode ser </t>
  </si>
  <si>
    <t>privativa em cada caso, assegurada revisão geral anual, sempre na mesma data e sem distinção de índices; </t>
  </si>
  <si>
    <t xml:space="preserve">X - a remuneração dos servidores públicos e o subsídio de que trata o § 4º do art. 39 somente poderão ser fixados ou alterados por lei específica, observada a iniciativa </t>
  </si>
  <si>
    <t>Portanto, o Art. 37, X, da CF assegura a revisão geral anual:</t>
  </si>
  <si>
    <t>ressalvada a revisão prevista no inciso X do art. 37 da Constituição;</t>
  </si>
  <si>
    <t xml:space="preserve">  I - concessão de vantagem, aumento, reajuste ou adequação de remuneração a qualquer título, salvo os derivados de sentença judicial ou de determinação legal ou contratual, </t>
  </si>
  <si>
    <t>incorrido no excesso:</t>
  </si>
  <si>
    <t xml:space="preserve">Parágrafo único. Se a despesa total com pessoal exceder a 95% (noventa e cinco por cento) do limite, são vedados ao Poder ou órgão referido no art. 20 que houver </t>
  </si>
  <si>
    <r>
      <t>Art. 22.</t>
    </r>
    <r>
      <rPr>
        <b/>
        <sz val="9"/>
        <color rgb="FF000000"/>
        <rFont val="Arial"/>
        <family val="2"/>
      </rPr>
      <t> </t>
    </r>
    <r>
      <rPr>
        <sz val="9"/>
        <color rgb="FF000000"/>
        <rFont val="Arial"/>
        <family val="2"/>
      </rPr>
      <t>A verificação do cumprimento dos limites estabelecidos nos arts. 19 e 20 será realizada ao final de cada quadrimestre.</t>
    </r>
  </si>
  <si>
    <t>pagamento mensal, como prevê o Art. 22, I da Lei Complementar 101/2000, sendo:</t>
  </si>
  <si>
    <t xml:space="preserve">determina o Art. 37, X, da Constituição Federal. Valor este, que pode ser excluido para fins de apuração dos custos com folha de </t>
  </si>
  <si>
    <t>Valor do impacto mensal R$</t>
  </si>
  <si>
    <t>Reposição inflacionária % conced</t>
  </si>
  <si>
    <t>NÚMERO DE FUNCIONÁRIOS</t>
  </si>
  <si>
    <t>TOTAL LIQUIDO DA FOLHA</t>
  </si>
  <si>
    <t>DESCONTOS</t>
  </si>
  <si>
    <t>TOTAL BRUTO DA FOLHA</t>
  </si>
  <si>
    <t>OUTRAS PARCELAS</t>
  </si>
  <si>
    <t>FG</t>
  </si>
  <si>
    <t>HORAS EXTRAS</t>
  </si>
  <si>
    <t>TRIENIO</t>
  </si>
  <si>
    <t>ADICIONAL DE INSALUBRIDADE</t>
  </si>
  <si>
    <t>HORAS NORMAIS</t>
  </si>
  <si>
    <t>%</t>
  </si>
  <si>
    <t>VENCIMENTOS</t>
  </si>
  <si>
    <t>EVOLUÇÃO DA FOLHA DE PAGAMENTO DE 2019 MÊS A MÊS</t>
  </si>
  <si>
    <t>PREFEITURA MUNICIPAL DE MAQUINÉ RS</t>
  </si>
  <si>
    <t>LIQUIDA</t>
  </si>
  <si>
    <t>TOTAL</t>
  </si>
  <si>
    <t>OUTRAS</t>
  </si>
  <si>
    <t>COMPARATIVO DA FOLHA DE PAGAMENTO DE 2018 PARA 2019</t>
  </si>
  <si>
    <r>
      <t xml:space="preserve">O CALCULO DA PORCENTAGEM ACUMULADA FOI ELABORADO DE MANEIRA A APRESENTAR QUANTO DO </t>
    </r>
    <r>
      <rPr>
        <b/>
        <sz val="10"/>
        <color theme="1"/>
        <rFont val="Calibri"/>
        <family val="2"/>
        <scheme val="minor"/>
      </rPr>
      <t>TOTAL DO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ORÇAMENTO JÁ FOI LIQUIDADO.</t>
    </r>
  </si>
  <si>
    <t>*</t>
  </si>
  <si>
    <t xml:space="preserve">A PORCENTAGEM PREENCHIDA AO DE CADA MÊS SE REFERE AO VALOR LIQUIDADO POR SECRETARIA COM BASE AO TOTAL DO MÊS CONFORME RELATORIOS DO SISTEMA. </t>
  </si>
  <si>
    <t>A PORCENTAGEM AO LADO DA DOTAÇÃO INDICA QUANTOS % DO ORÇAMENTO FOI DESTINADO A CADA SECRETARIA;</t>
  </si>
  <si>
    <t>O SALDO DA DOTAÇÃO É ATUALIZADO DO MÊS DE JANEIRO;</t>
  </si>
  <si>
    <t>NOTAS EXPLICATIVAS:</t>
  </si>
  <si>
    <t>SOMA DO RELATÓRIO</t>
  </si>
  <si>
    <t>SEC. MUN. DE PLENAJ. DESENV. ESTRATEGICO</t>
  </si>
  <si>
    <t>RESERVA DE CONTINGENCIA</t>
  </si>
  <si>
    <t>ENCARGOS FINANCEIROS DO MUNICIPIO</t>
  </si>
  <si>
    <t>SEC. MUN. DE OBRAS E SANEAMENTO</t>
  </si>
  <si>
    <t>SEC. MUN. DE ASSISTENCIA SOCIAL</t>
  </si>
  <si>
    <t>SEC. MUN. DE SAUDE</t>
  </si>
  <si>
    <t>SEC. MUN. DE EDUC. E CULTURA</t>
  </si>
  <si>
    <t>SEC. MUN. DE AGRIC. TUR. E MEIO AMB.</t>
  </si>
  <si>
    <t>SEC. MUN. DA FAZENDA</t>
  </si>
  <si>
    <t>SEC. MUN. DE ADMINISTRAÇÃO</t>
  </si>
  <si>
    <t>GABINETE DO PREFEITO</t>
  </si>
  <si>
    <t>SALDO A GASTAR</t>
  </si>
  <si>
    <t>% ACUMULADA</t>
  </si>
  <si>
    <t>TOTAL GASTO</t>
  </si>
  <si>
    <t>LIQ DEZEMBRO</t>
  </si>
  <si>
    <t>LIQ NOVEMBRO</t>
  </si>
  <si>
    <t>LIQ OUTUBRO</t>
  </si>
  <si>
    <t>LIQ SETEMBRO</t>
  </si>
  <si>
    <t>LIQ AGOSTO</t>
  </si>
  <si>
    <t>LIQ JULHO</t>
  </si>
  <si>
    <t>SECRETARIA</t>
  </si>
  <si>
    <t>ORGÃO</t>
  </si>
  <si>
    <t>LIQ JUNHO</t>
  </si>
  <si>
    <t>LIQ MAIO</t>
  </si>
  <si>
    <t>LIQ ABRIL</t>
  </si>
  <si>
    <t>LIQ MARÇO</t>
  </si>
  <si>
    <t>LIQ FEVEREIRO</t>
  </si>
  <si>
    <t>LIQ JANEIRO</t>
  </si>
  <si>
    <t>DOTAÇÃO</t>
  </si>
  <si>
    <t>CONTROLE DE DESPESAS LIQUIDADAS POR SECRETARIA MÊS A MÊS 2019</t>
  </si>
  <si>
    <t>dif investimento</t>
  </si>
  <si>
    <t>dif manutençao</t>
  </si>
  <si>
    <t>Dif folha</t>
  </si>
  <si>
    <t>Diferença</t>
  </si>
  <si>
    <t>DESPESAS DE CAPITAL</t>
  </si>
  <si>
    <t>OUTRAS DESPESAS CORRENTES</t>
  </si>
  <si>
    <t xml:space="preserve">PESSOAL E ENCARGOS SOCIAIS  </t>
  </si>
  <si>
    <t>Total</t>
  </si>
  <si>
    <t>Dez.</t>
  </si>
  <si>
    <t>Nov.</t>
  </si>
  <si>
    <t>Out.</t>
  </si>
  <si>
    <t>Set</t>
  </si>
  <si>
    <t>Agost</t>
  </si>
  <si>
    <t>Jul</t>
  </si>
  <si>
    <t>Jun</t>
  </si>
  <si>
    <t>Mai</t>
  </si>
  <si>
    <t>Abr</t>
  </si>
  <si>
    <t>Mar</t>
  </si>
  <si>
    <t>Fev</t>
  </si>
  <si>
    <t>Jan</t>
  </si>
  <si>
    <t xml:space="preserve">Nov. </t>
  </si>
  <si>
    <t>RPPS</t>
  </si>
  <si>
    <t>TOTAL DE RECEITA</t>
  </si>
  <si>
    <t>(-) DEDUÇÕES</t>
  </si>
  <si>
    <t>Receitas de Capital</t>
  </si>
  <si>
    <t>2.0.</t>
  </si>
  <si>
    <t xml:space="preserve">Outras Receitas Correntes  </t>
  </si>
  <si>
    <t>1.9.</t>
  </si>
  <si>
    <t>Transferencias Correntes</t>
  </si>
  <si>
    <t>1.7.</t>
  </si>
  <si>
    <t xml:space="preserve">Receita de Servicos </t>
  </si>
  <si>
    <t>1.6.</t>
  </si>
  <si>
    <t xml:space="preserve">Receita Patrimonial </t>
  </si>
  <si>
    <t>1.3.</t>
  </si>
  <si>
    <t>Contribuicoes</t>
  </si>
  <si>
    <t>1.2.</t>
  </si>
  <si>
    <t xml:space="preserve">Impostos, Taxas e Contribuicoes de Melho </t>
  </si>
  <si>
    <t>1.1.</t>
  </si>
  <si>
    <t xml:space="preserve"> </t>
  </si>
  <si>
    <t>TOTAL DA RECEITA LIQUIDA</t>
  </si>
  <si>
    <t>DEDUÇÕES DA RECEITA</t>
  </si>
  <si>
    <t>1.7</t>
  </si>
  <si>
    <t>SUB.TOTAL = RECEITAS DE CAPITAL</t>
  </si>
  <si>
    <t>OUTRAS RECEITAS DE CAPITAL</t>
  </si>
  <si>
    <t>2.5</t>
  </si>
  <si>
    <t>TRANSFERÊNCIAS DE CAPITAL</t>
  </si>
  <si>
    <t>2.4</t>
  </si>
  <si>
    <t>AMOSTIZAÇÃO DE EMPRÉSTIMOS</t>
  </si>
  <si>
    <t>2.3</t>
  </si>
  <si>
    <t>ALIENAÇÃO DE OUTROS BENS MÓVEIS</t>
  </si>
  <si>
    <t>2.2</t>
  </si>
  <si>
    <t>SUB.TOTAL = RECEITAS CORRENTES</t>
  </si>
  <si>
    <t>OUTRAS RECEITAS CORRENTES</t>
  </si>
  <si>
    <t>1.9</t>
  </si>
  <si>
    <t>TRANSFERÊNCIAS CORRENTES</t>
  </si>
  <si>
    <t>RECEITA DE SERVIÇOS</t>
  </si>
  <si>
    <t>1.6</t>
  </si>
  <si>
    <t>RECEITA PATRIMONIAL</t>
  </si>
  <si>
    <t>1.3</t>
  </si>
  <si>
    <t>RECEITA DE CONTRIBUIÇÕES</t>
  </si>
  <si>
    <t>1.2</t>
  </si>
  <si>
    <t>RECEITA TRIBUTARIA</t>
  </si>
  <si>
    <t>1.1</t>
  </si>
  <si>
    <t>% ANALISE VERT</t>
  </si>
  <si>
    <t>RECEITAS</t>
  </si>
  <si>
    <t>TOTAL EMPENHADO DA DESPESA ORÇAMENTÁRIA</t>
  </si>
  <si>
    <t>SUB.TOTAL = DESPESAS DE CAPITAL</t>
  </si>
  <si>
    <t>DESPESAS DE CAPITAL = INVESTIMENTOS</t>
  </si>
  <si>
    <t>4.0.00.00</t>
  </si>
  <si>
    <t>SUB.TOTAL = DESPESAS CORRENTES</t>
  </si>
  <si>
    <t>OUTRAS DESPESAS GERAIS</t>
  </si>
  <si>
    <t>INDENIZAÇÕES E RSTITUIÇÕES</t>
  </si>
  <si>
    <t>3.3.90.93</t>
  </si>
  <si>
    <t>SENTENÇAS JUDUCIAIS</t>
  </si>
  <si>
    <t>3.3.90.91</t>
  </si>
  <si>
    <t>OUTROS AUXILIOS FINANC A PESSOA F</t>
  </si>
  <si>
    <t>3.3.90.48</t>
  </si>
  <si>
    <t>OBRIGAÇÕES TRIB E CONTRIB - PASEP</t>
  </si>
  <si>
    <t>3.3.90.47</t>
  </si>
  <si>
    <t>OUTROS SERV DE TERC PESSOA J</t>
  </si>
  <si>
    <t>3.3.90.39</t>
  </si>
  <si>
    <t>LOCAÇAO DE MÃO-DE-OBRA</t>
  </si>
  <si>
    <t>3.3.90.37</t>
  </si>
  <si>
    <t>OUTROS SERV DE TERCEIROS PESSOA F</t>
  </si>
  <si>
    <t>3.3.90.36</t>
  </si>
  <si>
    <t>SERVIÇOS DE CONSULTORIA</t>
  </si>
  <si>
    <t>3.3.90.35</t>
  </si>
  <si>
    <t>PASSAGENS E DESPESAS COM LOCOMOÇÕES</t>
  </si>
  <si>
    <t>3.3.90.33</t>
  </si>
  <si>
    <t>MATERIAL, BEM OU SERVIÇO P/DISTR</t>
  </si>
  <si>
    <t>3.3.90.32</t>
  </si>
  <si>
    <t>PREMIAÇÕES CULT ARTIST CIENT</t>
  </si>
  <si>
    <t>3.3.90.31</t>
  </si>
  <si>
    <t>MATERIAL DE CONSUMO</t>
  </si>
  <si>
    <t>3.3.90.30</t>
  </si>
  <si>
    <t>AUXILIO FINANCEIRO A ESTUDANTES</t>
  </si>
  <si>
    <t>3.3.90.18</t>
  </si>
  <si>
    <t>DIÁRIAS - PESSOAL CIVIL</t>
  </si>
  <si>
    <t>3.3.90.14</t>
  </si>
  <si>
    <t>TRANSF A INSTIT.PRIVADAS COM FINS</t>
  </si>
  <si>
    <t>3.3.60.00</t>
  </si>
  <si>
    <t>TRANSF A INSTIT.PRIVADAS SEM FINS</t>
  </si>
  <si>
    <t>3.3.50.00</t>
  </si>
  <si>
    <t>APLIC DIRETAS-OPER INTRA-ORÇAM PATRONAL RPPS</t>
  </si>
  <si>
    <t>3.1.91.00</t>
  </si>
  <si>
    <t>OUTRAS DESPESAS DE PESSOAL DECOR-TERCEIR</t>
  </si>
  <si>
    <t>3.1.90.34</t>
  </si>
  <si>
    <t>OUTRAS DESPESAS VARIAVEIS-PESOAL H.EXTR</t>
  </si>
  <si>
    <t>3.1.90.16</t>
  </si>
  <si>
    <t>OBRIGAÇÕES PATRONAIS</t>
  </si>
  <si>
    <t>3.1.90.13</t>
  </si>
  <si>
    <t>VECIM. E VANT FIXAS - PESSOAL</t>
  </si>
  <si>
    <t>3.1.90.11</t>
  </si>
  <si>
    <t>OUTROS BENEF PREVIDENCIÁRIOS</t>
  </si>
  <si>
    <t>3.1.90.05</t>
  </si>
  <si>
    <t>CONTRATAÇÃO P/TEMPO DETERMINADO</t>
  </si>
  <si>
    <t>3.1.90.04</t>
  </si>
  <si>
    <t>DESPESAS 2014 A 2017 ANÁLISE VERTICAL</t>
  </si>
  <si>
    <t>TOTALIZADOR</t>
  </si>
  <si>
    <t>ASPS</t>
  </si>
  <si>
    <t>FUNDEB</t>
  </si>
  <si>
    <t>MDE</t>
  </si>
  <si>
    <t>PROPRIO</t>
  </si>
  <si>
    <t>DISPONIVEL</t>
  </si>
  <si>
    <t>EMPENHADO A PAGAR</t>
  </si>
  <si>
    <t>SALDO BANCARIO</t>
  </si>
  <si>
    <t>RECURSO</t>
  </si>
  <si>
    <t>VINCULO</t>
  </si>
  <si>
    <r>
      <t xml:space="preserve">SALDO BANCÁRIO MENOS RECURSO </t>
    </r>
    <r>
      <rPr>
        <b/>
        <sz val="11"/>
        <color rgb="FFFF0000"/>
        <rFont val="Calibri"/>
        <family val="2"/>
        <scheme val="minor"/>
      </rPr>
      <t>EMPENHADO</t>
    </r>
    <r>
      <rPr>
        <b/>
        <sz val="11"/>
        <color theme="1"/>
        <rFont val="Calibri"/>
        <family val="2"/>
        <scheme val="minor"/>
      </rPr>
      <t xml:space="preserve"> A PAGAR</t>
    </r>
  </si>
  <si>
    <t>LIQUIDADO A PAGAR</t>
  </si>
  <si>
    <r>
      <t xml:space="preserve">SALDO BANCÁRIO MENOS RECURSO </t>
    </r>
    <r>
      <rPr>
        <b/>
        <sz val="11"/>
        <color rgb="FFFF0000"/>
        <rFont val="Calibri"/>
        <family val="2"/>
        <scheme val="minor"/>
      </rPr>
      <t>LIQUIDADO</t>
    </r>
    <r>
      <rPr>
        <b/>
        <sz val="11"/>
        <color theme="1"/>
        <rFont val="Calibri"/>
        <family val="2"/>
        <scheme val="minor"/>
      </rPr>
      <t xml:space="preserve"> A PAGAR</t>
    </r>
  </si>
  <si>
    <t>7.0</t>
  </si>
  <si>
    <t>RECEITA INTRA-ORÇAMENTÁRIA</t>
  </si>
  <si>
    <t>Fonte:</t>
  </si>
  <si>
    <t>SECRETARIA MUNICIPAL DA SAUDE</t>
  </si>
  <si>
    <t>CONTROLE DA ANALISE HORIZONTAL</t>
  </si>
  <si>
    <t>DESPESAS 2015 A 2018 ANÁLISE HORIZONTAL</t>
  </si>
  <si>
    <t>ANALISE HORIZONTAL</t>
  </si>
  <si>
    <t xml:space="preserve">ANALISE VERTICAL </t>
  </si>
  <si>
    <t>Portal da Transparência Prefeitura Municipal</t>
  </si>
  <si>
    <t>15/16</t>
  </si>
  <si>
    <t>16/17</t>
  </si>
  <si>
    <t>17/18</t>
  </si>
  <si>
    <t>15/18</t>
  </si>
  <si>
    <t>CÁLCULO DUODÉCIMO CÂMARA MUNICIPAL DE MAQUINÉ RS</t>
  </si>
  <si>
    <t>De acordo com a Constituição Federal Brasileira e Emenda Constitucional nº 25</t>
  </si>
  <si>
    <t>Orçamento para 2018</t>
  </si>
  <si>
    <t>Receita tributária</t>
  </si>
  <si>
    <t>Tributos</t>
  </si>
  <si>
    <t>1.2.1</t>
  </si>
  <si>
    <t>Contribuições sociais</t>
  </si>
  <si>
    <t>CIP</t>
  </si>
  <si>
    <t>Transferência § 5º, Art. 153</t>
  </si>
  <si>
    <t>Transferência Art. 158</t>
  </si>
  <si>
    <t>ITR</t>
  </si>
  <si>
    <t>IPVA</t>
  </si>
  <si>
    <t>ICMS</t>
  </si>
  <si>
    <t>CIDE</t>
  </si>
  <si>
    <t>Transferências Art. 159</t>
  </si>
  <si>
    <t>LC 87/96</t>
  </si>
  <si>
    <t>IPI</t>
  </si>
  <si>
    <t>FPM</t>
  </si>
  <si>
    <t>FPM 1%</t>
  </si>
  <si>
    <t>Deduções da receita</t>
  </si>
  <si>
    <t>Renúncia</t>
  </si>
  <si>
    <t>Descontos concedidos</t>
  </si>
  <si>
    <t>BASE DE CÁLCULO DO DUODÉCIMO</t>
  </si>
  <si>
    <t>Atualização da base IGP-DI</t>
  </si>
  <si>
    <t>BASE DE CÁLCULO DO DUODÉCIMO ATUALIZADO</t>
  </si>
  <si>
    <t>Percentual cfe. Art. 29-A, I e LOM. --&gt; 8%</t>
  </si>
  <si>
    <t>VALOR DO ORÇAMENTO LEGISLATIVO</t>
  </si>
  <si>
    <t>Limite dos gastos com folha de pgto.</t>
  </si>
  <si>
    <t>Limite da folha em valor</t>
  </si>
  <si>
    <t>Repasse mensal - duodécimo</t>
  </si>
  <si>
    <t>Base na receita de 2019</t>
  </si>
  <si>
    <t>1.7.1.8.01.5.0</t>
  </si>
  <si>
    <t>1.7.2.8.01.2.0</t>
  </si>
  <si>
    <t>1.7.2.8.01.1.0</t>
  </si>
  <si>
    <t>1.7.2.8.01.4.0</t>
  </si>
  <si>
    <t>1.7.1.8.06</t>
  </si>
  <si>
    <t>1.7.2.8.01.3.0</t>
  </si>
  <si>
    <t>1.7.1.8.01.2.0</t>
  </si>
  <si>
    <t>1.7.1.8.01.3.0</t>
  </si>
  <si>
    <t>1.2.4</t>
  </si>
  <si>
    <t>Restituições</t>
  </si>
  <si>
    <t>Retificações</t>
  </si>
  <si>
    <t>jan</t>
  </si>
  <si>
    <t>fev</t>
  </si>
  <si>
    <t>mar</t>
  </si>
  <si>
    <t>abr</t>
  </si>
  <si>
    <t>mai</t>
  </si>
  <si>
    <t>3.1</t>
  </si>
  <si>
    <t xml:space="preserve">RIO GRANDE DO SUL </t>
  </si>
  <si>
    <t>1ª SEM 2018</t>
  </si>
  <si>
    <t>2ª SEM 2018</t>
  </si>
  <si>
    <t>1ª SEM 2019</t>
  </si>
  <si>
    <t xml:space="preserve">ORÇADA </t>
  </si>
  <si>
    <t>REALIZADA</t>
  </si>
  <si>
    <t xml:space="preserve">REALIZADA </t>
  </si>
  <si>
    <t>DIFERENÇA</t>
  </si>
  <si>
    <t>PREFEITURA MUNICIPAL DE MAQUINE</t>
  </si>
  <si>
    <t>RECEITAS DE CAPITAL</t>
  </si>
  <si>
    <t>3.3</t>
  </si>
  <si>
    <t>ATUALIZADA EM:</t>
  </si>
  <si>
    <t>TOTAL MUNICIPAL</t>
  </si>
  <si>
    <t>3.2</t>
  </si>
  <si>
    <t>JUROS E ENCARGOS DA DIVIDA</t>
  </si>
  <si>
    <t>DIF (2018-2019) SEM RPPS</t>
  </si>
  <si>
    <t>DIF (2018-2019) COM RPPS</t>
  </si>
  <si>
    <t>RESULTADO (REC - DESP) 2019</t>
  </si>
  <si>
    <t>RESULTADO (REC - DESP) 2018</t>
  </si>
  <si>
    <t>(-) REC DE CAPITAL</t>
  </si>
  <si>
    <t>SOBRA EFETIVA</t>
  </si>
  <si>
    <t>EXEMPLO, GABINETE MÊS DE JANEIRO: R$ 52.737,07 É 3,19% DO TOTAL LIQUIDADO NO MÊS QUE É DE R$ 1.785.907,50;</t>
  </si>
  <si>
    <t>EXEMPLO: A SOMA DOS SALDOS LIQUIDADOS MÊS A MÊS TOTALIZA R$ 564.135,87 QUE CORRESPONDE A 3,41% DOS R$ 641.300,00 ORÇADOS PARA O EXERCÍCIO.</t>
  </si>
  <si>
    <t>% ANALISE HORIZ</t>
  </si>
  <si>
    <t>%ANALISE HORIZ</t>
  </si>
  <si>
    <t>2014/2015</t>
  </si>
  <si>
    <t>2016/2017</t>
  </si>
  <si>
    <t>2017/2018</t>
  </si>
  <si>
    <t>2015/2016</t>
  </si>
  <si>
    <t>2014/2018</t>
  </si>
  <si>
    <t>RESTOS A PAGAR</t>
  </si>
  <si>
    <t>2ª SEM 2019</t>
  </si>
  <si>
    <t>1º SEM</t>
  </si>
  <si>
    <t>2º SEM</t>
  </si>
  <si>
    <t>cresc. 01/18-06/19</t>
  </si>
  <si>
    <t>cresc. 01/18 -12/19</t>
  </si>
  <si>
    <t>4.0</t>
  </si>
  <si>
    <t>Total Impacto</t>
  </si>
  <si>
    <t>Obs.: A revisão geral anual dos vencimentos dos servidores públicos de Maquiné, foi concedida pela Lei Municipal 1.404 de 19/02/2019.</t>
  </si>
  <si>
    <t xml:space="preserve">Concedeu 3,4340 %, ou seja, exatamente o percentual do INPC, portanto, trata-se, apenas de reposição inflacionária, conforme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</si>
</sst>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R$&quot;\ * #,##0_ ;_ &quot;R$&quot;\ * \-#,##0_ ;_ &quot;R$&quot;\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[$-416]mmm\-yy;@"/>
    <numFmt numFmtId="165" formatCode="_-* #,##0.00_-;\-* #,##0.00_-;_-* &quot;-&quot;??_-;_-@_-"/>
    <numFmt numFmtId="166" formatCode="#,##0_ ;\-#,##0\ "/>
    <numFmt numFmtId="167" formatCode="_ &quot;R$&quot;\ * #,##0_ ;_ &quot;R$&quot;\ * \-#,##0_ ;_ &quot;R$&quot;\ * &quot;-&quot;??_ ;_ @_ "/>
    <numFmt numFmtId="168" formatCode="_(* #,##0.00_);_(* \(#,##0.00\);_(* &quot;-&quot;??_);_(@_)"/>
    <numFmt numFmtId="169" formatCode="_(* #,##0.000_);_(* \(#,##0.0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4" applyFont="1"/>
    <xf numFmtId="43" fontId="9" fillId="0" borderId="1" xfId="1" applyFont="1" applyBorder="1"/>
    <xf numFmtId="0" fontId="9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2" fontId="9" fillId="0" borderId="5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5" xfId="1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2" fontId="9" fillId="0" borderId="6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4" fontId="9" fillId="0" borderId="9" xfId="0" applyNumberFormat="1" applyFont="1" applyBorder="1"/>
    <xf numFmtId="4" fontId="9" fillId="0" borderId="10" xfId="0" applyNumberFormat="1" applyFont="1" applyBorder="1"/>
    <xf numFmtId="4" fontId="9" fillId="0" borderId="9" xfId="0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2" fontId="3" fillId="0" borderId="1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3" fontId="3" fillId="0" borderId="0" xfId="1" applyFont="1"/>
    <xf numFmtId="4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" fontId="3" fillId="0" borderId="17" xfId="0" applyNumberFormat="1" applyFont="1" applyBorder="1" applyAlignment="1">
      <alignment horizontal="right"/>
    </xf>
    <xf numFmtId="43" fontId="3" fillId="0" borderId="17" xfId="1" applyFont="1" applyBorder="1"/>
    <xf numFmtId="4" fontId="3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 horizontal="left"/>
    </xf>
    <xf numFmtId="2" fontId="3" fillId="0" borderId="20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3" fontId="3" fillId="0" borderId="5" xfId="1" applyFont="1" applyBorder="1"/>
    <xf numFmtId="4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/>
    </xf>
    <xf numFmtId="43" fontId="3" fillId="0" borderId="23" xfId="1" applyFont="1" applyBorder="1"/>
    <xf numFmtId="4" fontId="3" fillId="0" borderId="24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17" fontId="9" fillId="0" borderId="7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4" xfId="0" applyFont="1" applyBorder="1"/>
    <xf numFmtId="0" fontId="3" fillId="0" borderId="5" xfId="0" applyFont="1" applyBorder="1"/>
    <xf numFmtId="3" fontId="9" fillId="0" borderId="16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left"/>
    </xf>
    <xf numFmtId="4" fontId="9" fillId="0" borderId="1" xfId="0" applyNumberFormat="1" applyFont="1" applyBorder="1" applyAlignment="1">
      <alignment horizontal="right"/>
    </xf>
    <xf numFmtId="4" fontId="9" fillId="0" borderId="28" xfId="0" applyNumberFormat="1" applyFont="1" applyBorder="1" applyAlignment="1">
      <alignment horizontal="right"/>
    </xf>
    <xf numFmtId="4" fontId="9" fillId="0" borderId="2" xfId="0" applyNumberFormat="1" applyFont="1" applyBorder="1" applyAlignment="1">
      <alignment horizontal="left"/>
    </xf>
    <xf numFmtId="4" fontId="3" fillId="0" borderId="29" xfId="1" applyNumberFormat="1" applyFont="1" applyBorder="1" applyAlignment="1">
      <alignment horizontal="left"/>
    </xf>
    <xf numFmtId="4" fontId="3" fillId="0" borderId="22" xfId="0" applyNumberFormat="1" applyFont="1" applyBorder="1" applyAlignment="1">
      <alignment horizontal="left"/>
    </xf>
    <xf numFmtId="4" fontId="9" fillId="0" borderId="21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left"/>
    </xf>
    <xf numFmtId="164" fontId="9" fillId="0" borderId="30" xfId="0" applyNumberFormat="1" applyFont="1" applyBorder="1" applyAlignment="1">
      <alignment horizontal="left"/>
    </xf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left"/>
    </xf>
    <xf numFmtId="3" fontId="9" fillId="0" borderId="13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left"/>
    </xf>
    <xf numFmtId="4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/>
    <xf numFmtId="4" fontId="9" fillId="0" borderId="0" xfId="0" applyNumberFormat="1" applyFont="1" applyAlignment="1"/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4" fontId="3" fillId="0" borderId="29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4" fontId="16" fillId="0" borderId="0" xfId="0" applyNumberFormat="1" applyFont="1"/>
    <xf numFmtId="4" fontId="17" fillId="0" borderId="0" xfId="0" applyNumberFormat="1" applyFont="1"/>
    <xf numFmtId="4" fontId="10" fillId="0" borderId="0" xfId="0" applyNumberFormat="1" applyFont="1" applyAlignment="1">
      <alignment vertical="center"/>
    </xf>
    <xf numFmtId="4" fontId="0" fillId="0" borderId="5" xfId="0" applyNumberFormat="1" applyBorder="1" applyAlignment="1">
      <alignment vertical="center"/>
    </xf>
    <xf numFmtId="43" fontId="0" fillId="0" borderId="5" xfId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17" fontId="9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0" fontId="3" fillId="6" borderId="5" xfId="3" applyNumberFormat="1" applyFont="1" applyFill="1" applyBorder="1" applyAlignment="1">
      <alignment horizontal="center" vertical="center"/>
    </xf>
    <xf numFmtId="10" fontId="3" fillId="5" borderId="5" xfId="3" applyNumberFormat="1" applyFont="1" applyFill="1" applyBorder="1" applyAlignment="1">
      <alignment horizontal="center" vertical="center"/>
    </xf>
    <xf numFmtId="10" fontId="3" fillId="4" borderId="5" xfId="3" applyNumberFormat="1" applyFont="1" applyFill="1" applyBorder="1" applyAlignment="1">
      <alignment horizontal="center" vertical="center"/>
    </xf>
    <xf numFmtId="42" fontId="3" fillId="3" borderId="5" xfId="2" applyNumberFormat="1" applyFont="1" applyFill="1" applyBorder="1" applyAlignment="1">
      <alignment horizontal="right" vertical="center"/>
    </xf>
    <xf numFmtId="10" fontId="3" fillId="3" borderId="5" xfId="3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10" fontId="3" fillId="0" borderId="0" xfId="3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6" fontId="3" fillId="0" borderId="0" xfId="2" applyNumberFormat="1" applyFont="1" applyAlignment="1">
      <alignment horizontal="right" vertical="center"/>
    </xf>
    <xf numFmtId="10" fontId="3" fillId="0" borderId="0" xfId="2" applyNumberFormat="1" applyFont="1" applyAlignment="1">
      <alignment horizontal="center" vertical="center"/>
    </xf>
    <xf numFmtId="42" fontId="3" fillId="0" borderId="0" xfId="2" applyNumberFormat="1" applyFont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42" fontId="3" fillId="3" borderId="9" xfId="2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6" fontId="3" fillId="0" borderId="0" xfId="2" applyNumberFormat="1" applyFont="1" applyBorder="1" applyAlignment="1">
      <alignment horizontal="right" vertical="center"/>
    </xf>
    <xf numFmtId="10" fontId="3" fillId="0" borderId="0" xfId="2" applyNumberFormat="1" applyFont="1" applyBorder="1" applyAlignment="1">
      <alignment horizontal="center" vertical="center"/>
    </xf>
    <xf numFmtId="42" fontId="3" fillId="0" borderId="0" xfId="2" applyNumberFormat="1" applyFont="1" applyBorder="1" applyAlignment="1">
      <alignment horizontal="right" vertical="center"/>
    </xf>
    <xf numFmtId="42" fontId="18" fillId="3" borderId="5" xfId="2" applyNumberFormat="1" applyFont="1" applyFill="1" applyBorder="1" applyAlignment="1">
      <alignment horizontal="right" vertical="center"/>
    </xf>
    <xf numFmtId="166" fontId="18" fillId="0" borderId="0" xfId="2" applyNumberFormat="1" applyFont="1" applyAlignment="1">
      <alignment horizontal="center" vertical="center"/>
    </xf>
    <xf numFmtId="42" fontId="18" fillId="0" borderId="0" xfId="2" applyNumberFormat="1" applyFont="1" applyAlignment="1">
      <alignment horizontal="right" vertical="center"/>
    </xf>
    <xf numFmtId="9" fontId="3" fillId="6" borderId="9" xfId="3" applyFont="1" applyFill="1" applyBorder="1" applyAlignment="1">
      <alignment horizontal="center" vertical="center"/>
    </xf>
    <xf numFmtId="9" fontId="3" fillId="5" borderId="9" xfId="3" applyFont="1" applyFill="1" applyBorder="1" applyAlignment="1">
      <alignment horizontal="center" vertical="center"/>
    </xf>
    <xf numFmtId="9" fontId="3" fillId="4" borderId="9" xfId="3" applyFont="1" applyFill="1" applyBorder="1" applyAlignment="1">
      <alignment horizontal="center" vertical="center"/>
    </xf>
    <xf numFmtId="9" fontId="3" fillId="3" borderId="9" xfId="3" applyFont="1" applyFill="1" applyBorder="1" applyAlignment="1">
      <alignment horizontal="center" vertical="center"/>
    </xf>
    <xf numFmtId="42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5" xfId="0" applyFont="1" applyBorder="1"/>
    <xf numFmtId="166" fontId="3" fillId="7" borderId="34" xfId="2" applyNumberFormat="1" applyFont="1" applyFill="1" applyBorder="1"/>
    <xf numFmtId="10" fontId="3" fillId="7" borderId="34" xfId="3" applyNumberFormat="1" applyFont="1" applyFill="1" applyBorder="1" applyAlignment="1">
      <alignment horizontal="center"/>
    </xf>
    <xf numFmtId="166" fontId="3" fillId="5" borderId="34" xfId="2" applyNumberFormat="1" applyFont="1" applyFill="1" applyBorder="1"/>
    <xf numFmtId="10" fontId="3" fillId="5" borderId="34" xfId="3" applyNumberFormat="1" applyFont="1" applyFill="1" applyBorder="1" applyAlignment="1">
      <alignment horizontal="center"/>
    </xf>
    <xf numFmtId="166" fontId="3" fillId="4" borderId="34" xfId="2" applyNumberFormat="1" applyFont="1" applyFill="1" applyBorder="1"/>
    <xf numFmtId="10" fontId="3" fillId="4" borderId="34" xfId="3" applyNumberFormat="1" applyFont="1" applyFill="1" applyBorder="1" applyAlignment="1">
      <alignment horizontal="center"/>
    </xf>
    <xf numFmtId="3" fontId="3" fillId="6" borderId="34" xfId="2" applyNumberFormat="1" applyFont="1" applyFill="1" applyBorder="1"/>
    <xf numFmtId="10" fontId="3" fillId="6" borderId="34" xfId="3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/>
    <xf numFmtId="166" fontId="3" fillId="7" borderId="9" xfId="2" applyNumberFormat="1" applyFont="1" applyFill="1" applyBorder="1"/>
    <xf numFmtId="10" fontId="3" fillId="7" borderId="9" xfId="3" applyNumberFormat="1" applyFont="1" applyFill="1" applyBorder="1" applyAlignment="1">
      <alignment horizontal="center"/>
    </xf>
    <xf numFmtId="166" fontId="3" fillId="5" borderId="9" xfId="2" applyNumberFormat="1" applyFont="1" applyFill="1" applyBorder="1"/>
    <xf numFmtId="10" fontId="3" fillId="5" borderId="9" xfId="3" applyNumberFormat="1" applyFont="1" applyFill="1" applyBorder="1" applyAlignment="1">
      <alignment horizontal="center"/>
    </xf>
    <xf numFmtId="166" fontId="3" fillId="4" borderId="9" xfId="2" applyNumberFormat="1" applyFont="1" applyFill="1" applyBorder="1"/>
    <xf numFmtId="10" fontId="3" fillId="4" borderId="9" xfId="3" applyNumberFormat="1" applyFont="1" applyFill="1" applyBorder="1" applyAlignment="1">
      <alignment horizontal="center"/>
    </xf>
    <xf numFmtId="3" fontId="3" fillId="6" borderId="9" xfId="2" applyNumberFormat="1" applyFont="1" applyFill="1" applyBorder="1"/>
    <xf numFmtId="10" fontId="3" fillId="6" borderId="9" xfId="3" applyNumberFormat="1" applyFont="1" applyFill="1" applyBorder="1" applyAlignment="1">
      <alignment horizontal="center"/>
    </xf>
    <xf numFmtId="166" fontId="3" fillId="0" borderId="0" xfId="2" applyNumberFormat="1" applyFont="1"/>
    <xf numFmtId="3" fontId="3" fillId="0" borderId="0" xfId="2" applyNumberFormat="1" applyFont="1"/>
    <xf numFmtId="0" fontId="3" fillId="6" borderId="11" xfId="0" applyFont="1" applyFill="1" applyBorder="1"/>
    <xf numFmtId="166" fontId="3" fillId="7" borderId="10" xfId="2" applyNumberFormat="1" applyFont="1" applyFill="1" applyBorder="1"/>
    <xf numFmtId="166" fontId="3" fillId="5" borderId="10" xfId="2" applyNumberFormat="1" applyFont="1" applyFill="1" applyBorder="1"/>
    <xf numFmtId="166" fontId="3" fillId="4" borderId="10" xfId="2" applyNumberFormat="1" applyFont="1" applyFill="1" applyBorder="1"/>
    <xf numFmtId="3" fontId="3" fillId="6" borderId="10" xfId="2" applyNumberFormat="1" applyFont="1" applyFill="1" applyBorder="1"/>
    <xf numFmtId="0" fontId="3" fillId="6" borderId="10" xfId="0" applyFont="1" applyFill="1" applyBorder="1"/>
    <xf numFmtId="0" fontId="3" fillId="6" borderId="26" xfId="0" applyFont="1" applyFill="1" applyBorder="1"/>
    <xf numFmtId="3" fontId="3" fillId="6" borderId="0" xfId="2" applyNumberFormat="1" applyFont="1" applyFill="1"/>
    <xf numFmtId="0" fontId="3" fillId="6" borderId="0" xfId="0" applyFont="1" applyFill="1"/>
    <xf numFmtId="0" fontId="3" fillId="0" borderId="33" xfId="0" applyFont="1" applyBorder="1" applyAlignment="1">
      <alignment horizontal="center"/>
    </xf>
    <xf numFmtId="166" fontId="3" fillId="6" borderId="9" xfId="2" applyNumberFormat="1" applyFont="1" applyFill="1" applyBorder="1"/>
    <xf numFmtId="42" fontId="3" fillId="0" borderId="0" xfId="2" applyNumberFormat="1" applyFont="1"/>
    <xf numFmtId="4" fontId="2" fillId="0" borderId="5" xfId="0" applyNumberFormat="1" applyFont="1" applyBorder="1"/>
    <xf numFmtId="0" fontId="0" fillId="0" borderId="5" xfId="0" applyBorder="1"/>
    <xf numFmtId="0" fontId="2" fillId="0" borderId="5" xfId="0" applyFont="1" applyFill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" fontId="9" fillId="0" borderId="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3" fontId="3" fillId="0" borderId="5" xfId="1" applyFont="1" applyBorder="1" applyAlignment="1">
      <alignment vertical="center"/>
    </xf>
    <xf numFmtId="43" fontId="9" fillId="0" borderId="5" xfId="1" applyFont="1" applyBorder="1" applyAlignment="1">
      <alignment vertical="center"/>
    </xf>
    <xf numFmtId="43" fontId="9" fillId="0" borderId="0" xfId="1" applyFont="1" applyAlignment="1">
      <alignment vertical="center"/>
    </xf>
    <xf numFmtId="4" fontId="9" fillId="0" borderId="5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3" fontId="3" fillId="0" borderId="21" xfId="1" applyFont="1" applyBorder="1" applyAlignment="1">
      <alignment vertical="center"/>
    </xf>
    <xf numFmtId="43" fontId="9" fillId="0" borderId="21" xfId="1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4" fontId="16" fillId="0" borderId="5" xfId="0" applyNumberFormat="1" applyFont="1" applyBorder="1"/>
    <xf numFmtId="44" fontId="3" fillId="6" borderId="5" xfId="2" applyFont="1" applyFill="1" applyBorder="1" applyAlignment="1">
      <alignment horizontal="right" vertical="center"/>
    </xf>
    <xf numFmtId="166" fontId="3" fillId="2" borderId="0" xfId="2" applyNumberFormat="1" applyFont="1" applyFill="1" applyBorder="1" applyAlignment="1">
      <alignment horizontal="right" vertical="center"/>
    </xf>
    <xf numFmtId="10" fontId="3" fillId="2" borderId="0" xfId="3" applyNumberFormat="1" applyFont="1" applyFill="1" applyBorder="1" applyAlignment="1">
      <alignment horizontal="center" vertical="center"/>
    </xf>
    <xf numFmtId="42" fontId="3" fillId="2" borderId="0" xfId="2" applyNumberFormat="1" applyFont="1" applyFill="1" applyBorder="1" applyAlignment="1">
      <alignment horizontal="right" vertical="center"/>
    </xf>
    <xf numFmtId="166" fontId="3" fillId="2" borderId="0" xfId="2" applyNumberFormat="1" applyFont="1" applyFill="1" applyAlignment="1">
      <alignment horizontal="right" vertical="center"/>
    </xf>
    <xf numFmtId="167" fontId="3" fillId="6" borderId="5" xfId="2" applyNumberFormat="1" applyFont="1" applyFill="1" applyBorder="1" applyAlignment="1">
      <alignment horizontal="right" vertical="center"/>
    </xf>
    <xf numFmtId="44" fontId="3" fillId="5" borderId="5" xfId="2" applyFont="1" applyFill="1" applyBorder="1" applyAlignment="1">
      <alignment horizontal="right" vertical="center"/>
    </xf>
    <xf numFmtId="167" fontId="3" fillId="5" borderId="5" xfId="2" applyNumberFormat="1" applyFont="1" applyFill="1" applyBorder="1" applyAlignment="1">
      <alignment horizontal="right" vertical="center"/>
    </xf>
    <xf numFmtId="44" fontId="3" fillId="4" borderId="5" xfId="2" applyFont="1" applyFill="1" applyBorder="1" applyAlignment="1">
      <alignment horizontal="right" vertical="center"/>
    </xf>
    <xf numFmtId="167" fontId="3" fillId="4" borderId="5" xfId="2" applyNumberFormat="1" applyFont="1" applyFill="1" applyBorder="1" applyAlignment="1">
      <alignment horizontal="right" vertical="center"/>
    </xf>
    <xf numFmtId="44" fontId="3" fillId="6" borderId="5" xfId="2" applyFont="1" applyFill="1" applyBorder="1" applyAlignment="1">
      <alignment horizontal="center" vertical="center"/>
    </xf>
    <xf numFmtId="44" fontId="3" fillId="5" borderId="5" xfId="2" applyFont="1" applyFill="1" applyBorder="1" applyAlignment="1">
      <alignment horizontal="center" vertical="center"/>
    </xf>
    <xf numFmtId="44" fontId="3" fillId="6" borderId="9" xfId="2" applyFont="1" applyFill="1" applyBorder="1" applyAlignment="1">
      <alignment horizontal="right" vertical="center"/>
    </xf>
    <xf numFmtId="44" fontId="3" fillId="0" borderId="0" xfId="2" applyFont="1" applyAlignment="1">
      <alignment horizontal="center" vertical="center"/>
    </xf>
    <xf numFmtId="44" fontId="18" fillId="0" borderId="0" xfId="2" applyFont="1" applyAlignment="1">
      <alignment horizontal="right" vertical="center"/>
    </xf>
    <xf numFmtId="44" fontId="18" fillId="3" borderId="5" xfId="2" applyFont="1" applyFill="1" applyBorder="1" applyAlignment="1">
      <alignment horizontal="right" vertical="center"/>
    </xf>
    <xf numFmtId="44" fontId="3" fillId="3" borderId="33" xfId="2" applyFont="1" applyFill="1" applyBorder="1" applyAlignment="1">
      <alignment horizontal="right" vertical="center"/>
    </xf>
    <xf numFmtId="167" fontId="3" fillId="3" borderId="33" xfId="2" applyNumberFormat="1" applyFont="1" applyFill="1" applyBorder="1" applyAlignment="1">
      <alignment horizontal="right" vertical="center"/>
    </xf>
    <xf numFmtId="167" fontId="3" fillId="6" borderId="33" xfId="2" applyNumberFormat="1" applyFont="1" applyFill="1" applyBorder="1" applyAlignment="1">
      <alignment horizontal="right" vertical="center"/>
    </xf>
    <xf numFmtId="167" fontId="3" fillId="6" borderId="9" xfId="2" applyNumberFormat="1" applyFont="1" applyFill="1" applyBorder="1" applyAlignment="1">
      <alignment horizontal="right" vertical="center"/>
    </xf>
    <xf numFmtId="167" fontId="18" fillId="6" borderId="5" xfId="2" applyNumberFormat="1" applyFont="1" applyFill="1" applyBorder="1" applyAlignment="1">
      <alignment horizontal="right" vertical="center"/>
    </xf>
    <xf numFmtId="167" fontId="3" fillId="5" borderId="33" xfId="2" applyNumberFormat="1" applyFont="1" applyFill="1" applyBorder="1" applyAlignment="1">
      <alignment horizontal="right" vertical="center"/>
    </xf>
    <xf numFmtId="167" fontId="3" fillId="5" borderId="9" xfId="2" applyNumberFormat="1" applyFont="1" applyFill="1" applyBorder="1" applyAlignment="1">
      <alignment horizontal="right" vertical="center"/>
    </xf>
    <xf numFmtId="167" fontId="18" fillId="5" borderId="5" xfId="2" applyNumberFormat="1" applyFont="1" applyFill="1" applyBorder="1" applyAlignment="1">
      <alignment horizontal="right" vertical="center"/>
    </xf>
    <xf numFmtId="167" fontId="3" fillId="4" borderId="33" xfId="2" applyNumberFormat="1" applyFont="1" applyFill="1" applyBorder="1" applyAlignment="1">
      <alignment horizontal="right" vertical="center"/>
    </xf>
    <xf numFmtId="167" fontId="18" fillId="4" borderId="5" xfId="2" applyNumberFormat="1" applyFont="1" applyFill="1" applyBorder="1" applyAlignment="1">
      <alignment horizontal="right" vertical="center"/>
    </xf>
    <xf numFmtId="167" fontId="3" fillId="4" borderId="9" xfId="2" applyNumberFormat="1" applyFont="1" applyFill="1" applyBorder="1" applyAlignment="1">
      <alignment horizontal="right" vertical="center"/>
    </xf>
    <xf numFmtId="167" fontId="3" fillId="3" borderId="9" xfId="2" applyNumberFormat="1" applyFont="1" applyFill="1" applyBorder="1" applyAlignment="1">
      <alignment horizontal="right" vertical="center"/>
    </xf>
    <xf numFmtId="0" fontId="3" fillId="0" borderId="37" xfId="0" applyFont="1" applyBorder="1"/>
    <xf numFmtId="0" fontId="9" fillId="7" borderId="11" xfId="0" applyFont="1" applyFill="1" applyBorder="1" applyAlignment="1">
      <alignment horizontal="center"/>
    </xf>
    <xf numFmtId="0" fontId="9" fillId="7" borderId="9" xfId="0" applyFont="1" applyFill="1" applyBorder="1"/>
    <xf numFmtId="43" fontId="3" fillId="6" borderId="34" xfId="1" applyFont="1" applyFill="1" applyBorder="1" applyAlignment="1">
      <alignment horizontal="center"/>
    </xf>
    <xf numFmtId="43" fontId="3" fillId="6" borderId="38" xfId="1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43" fontId="3" fillId="6" borderId="9" xfId="1" applyFont="1" applyFill="1" applyBorder="1" applyAlignment="1">
      <alignment horizontal="center"/>
    </xf>
    <xf numFmtId="43" fontId="3" fillId="6" borderId="9" xfId="1" applyFont="1" applyFill="1" applyBorder="1"/>
    <xf numFmtId="43" fontId="3" fillId="6" borderId="34" xfId="1" applyFont="1" applyFill="1" applyBorder="1"/>
    <xf numFmtId="43" fontId="3" fillId="6" borderId="36" xfId="1" applyFont="1" applyFill="1" applyBorder="1"/>
    <xf numFmtId="43" fontId="3" fillId="6" borderId="33" xfId="1" applyFont="1" applyFill="1" applyBorder="1"/>
    <xf numFmtId="0" fontId="3" fillId="8" borderId="9" xfId="1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22" xfId="0" applyBorder="1"/>
    <xf numFmtId="0" fontId="0" fillId="0" borderId="29" xfId="0" applyFill="1" applyBorder="1"/>
    <xf numFmtId="0" fontId="0" fillId="0" borderId="22" xfId="0" applyBorder="1" applyAlignment="1">
      <alignment horizontal="left"/>
    </xf>
    <xf numFmtId="0" fontId="21" fillId="0" borderId="5" xfId="0" applyFont="1" applyBorder="1"/>
    <xf numFmtId="168" fontId="21" fillId="0" borderId="29" xfId="0" applyNumberFormat="1" applyFont="1" applyFill="1" applyBorder="1"/>
    <xf numFmtId="0" fontId="0" fillId="0" borderId="5" xfId="0" applyBorder="1" applyAlignment="1">
      <alignment horizontal="right"/>
    </xf>
    <xf numFmtId="168" fontId="0" fillId="0" borderId="29" xfId="0" applyNumberFormat="1" applyFill="1" applyBorder="1"/>
    <xf numFmtId="0" fontId="21" fillId="0" borderId="29" xfId="0" applyFont="1" applyFill="1" applyBorder="1"/>
    <xf numFmtId="0" fontId="22" fillId="0" borderId="22" xfId="0" applyFont="1" applyBorder="1"/>
    <xf numFmtId="0" fontId="22" fillId="0" borderId="0" xfId="0" applyFont="1"/>
    <xf numFmtId="0" fontId="21" fillId="0" borderId="22" xfId="0" applyFont="1" applyBorder="1"/>
    <xf numFmtId="0" fontId="2" fillId="0" borderId="5" xfId="0" applyFont="1" applyBorder="1" applyAlignment="1">
      <alignment horizontal="right"/>
    </xf>
    <xf numFmtId="168" fontId="2" fillId="0" borderId="29" xfId="0" applyNumberFormat="1" applyFont="1" applyFill="1" applyBorder="1"/>
    <xf numFmtId="0" fontId="0" fillId="0" borderId="5" xfId="0" applyFont="1" applyBorder="1" applyAlignment="1">
      <alignment horizontal="right"/>
    </xf>
    <xf numFmtId="168" fontId="0" fillId="0" borderId="29" xfId="0" applyNumberFormat="1" applyFont="1" applyFill="1" applyBorder="1"/>
    <xf numFmtId="169" fontId="21" fillId="0" borderId="29" xfId="0" applyNumberFormat="1" applyFont="1" applyFill="1" applyBorder="1"/>
    <xf numFmtId="9" fontId="0" fillId="0" borderId="29" xfId="0" applyNumberFormat="1" applyFill="1" applyBorder="1"/>
    <xf numFmtId="0" fontId="23" fillId="0" borderId="5" xfId="0" applyFont="1" applyBorder="1"/>
    <xf numFmtId="9" fontId="23" fillId="0" borderId="29" xfId="0" applyNumberFormat="1" applyFont="1" applyFill="1" applyBorder="1"/>
    <xf numFmtId="0" fontId="0" fillId="0" borderId="0" xfId="0" applyFill="1"/>
    <xf numFmtId="167" fontId="3" fillId="3" borderId="5" xfId="2" applyNumberFormat="1" applyFont="1" applyFill="1" applyBorder="1" applyAlignment="1">
      <alignment horizontal="right" vertical="center"/>
    </xf>
    <xf numFmtId="0" fontId="0" fillId="0" borderId="5" xfId="0" applyBorder="1" applyAlignment="1"/>
    <xf numFmtId="0" fontId="0" fillId="0" borderId="5" xfId="0" applyBorder="1" applyAlignment="1">
      <alignment horizontal="center"/>
    </xf>
    <xf numFmtId="43" fontId="0" fillId="0" borderId="5" xfId="1" applyFont="1" applyBorder="1"/>
    <xf numFmtId="4" fontId="0" fillId="0" borderId="5" xfId="0" applyNumberFormat="1" applyBorder="1"/>
    <xf numFmtId="43" fontId="0" fillId="0" borderId="5" xfId="0" applyNumberFormat="1" applyBorder="1"/>
    <xf numFmtId="4" fontId="4" fillId="0" borderId="0" xfId="0" applyNumberFormat="1" applyFont="1"/>
    <xf numFmtId="4" fontId="3" fillId="0" borderId="0" xfId="0" applyNumberFormat="1" applyFont="1"/>
    <xf numFmtId="0" fontId="24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4" fontId="0" fillId="0" borderId="17" xfId="0" applyNumberFormat="1" applyBorder="1"/>
    <xf numFmtId="0" fontId="9" fillId="6" borderId="9" xfId="0" applyFont="1" applyFill="1" applyBorder="1" applyAlignment="1">
      <alignment horizontal="left" vertical="center"/>
    </xf>
    <xf numFmtId="4" fontId="2" fillId="6" borderId="9" xfId="0" applyNumberFormat="1" applyFont="1" applyFill="1" applyBorder="1"/>
    <xf numFmtId="2" fontId="2" fillId="6" borderId="9" xfId="0" applyNumberFormat="1" applyFont="1" applyFill="1" applyBorder="1" applyAlignment="1">
      <alignment horizontal="center"/>
    </xf>
    <xf numFmtId="2" fontId="2" fillId="6" borderId="9" xfId="0" applyNumberFormat="1" applyFont="1" applyFill="1" applyBorder="1"/>
    <xf numFmtId="43" fontId="2" fillId="6" borderId="9" xfId="1" applyFont="1" applyFill="1" applyBorder="1"/>
    <xf numFmtId="4" fontId="2" fillId="6" borderId="7" xfId="0" applyNumberFormat="1" applyFont="1" applyFill="1" applyBorder="1"/>
    <xf numFmtId="2" fontId="2" fillId="6" borderId="6" xfId="0" applyNumberFormat="1" applyFont="1" applyFill="1" applyBorder="1" applyAlignment="1">
      <alignment horizontal="center"/>
    </xf>
    <xf numFmtId="43" fontId="3" fillId="0" borderId="17" xfId="0" applyNumberFormat="1" applyFont="1" applyBorder="1"/>
    <xf numFmtId="4" fontId="25" fillId="0" borderId="5" xfId="0" applyNumberFormat="1" applyFont="1" applyBorder="1"/>
    <xf numFmtId="3" fontId="13" fillId="0" borderId="0" xfId="0" applyNumberFormat="1" applyFont="1" applyBorder="1" applyAlignment="1">
      <alignment horizontal="center"/>
    </xf>
    <xf numFmtId="14" fontId="13" fillId="0" borderId="0" xfId="0" applyNumberFormat="1" applyFont="1" applyBorder="1" applyAlignment="1">
      <alignment horizontal="left"/>
    </xf>
    <xf numFmtId="4" fontId="3" fillId="0" borderId="17" xfId="0" applyNumberFormat="1" applyFont="1" applyBorder="1"/>
    <xf numFmtId="0" fontId="16" fillId="0" borderId="5" xfId="0" applyFont="1" applyBorder="1"/>
    <xf numFmtId="4" fontId="16" fillId="0" borderId="21" xfId="0" applyNumberFormat="1" applyFont="1" applyBorder="1"/>
    <xf numFmtId="4" fontId="16" fillId="0" borderId="32" xfId="0" applyNumberFormat="1" applyFont="1" applyBorder="1"/>
    <xf numFmtId="14" fontId="13" fillId="6" borderId="9" xfId="0" applyNumberFormat="1" applyFont="1" applyFill="1" applyBorder="1" applyAlignment="1">
      <alignment horizontal="center"/>
    </xf>
    <xf numFmtId="3" fontId="13" fillId="6" borderId="11" xfId="0" applyNumberFormat="1" applyFont="1" applyFill="1" applyBorder="1" applyAlignment="1">
      <alignment horizontal="center"/>
    </xf>
    <xf numFmtId="14" fontId="13" fillId="6" borderId="9" xfId="0" applyNumberFormat="1" applyFont="1" applyFill="1" applyBorder="1" applyAlignment="1">
      <alignment horizontal="left"/>
    </xf>
    <xf numFmtId="3" fontId="13" fillId="6" borderId="9" xfId="0" applyNumberFormat="1" applyFont="1" applyFill="1" applyBorder="1" applyAlignment="1">
      <alignment horizontal="center"/>
    </xf>
    <xf numFmtId="0" fontId="9" fillId="0" borderId="5" xfId="0" applyNumberFormat="1" applyFont="1" applyBorder="1" applyAlignment="1">
      <alignment horizontal="right"/>
    </xf>
    <xf numFmtId="4" fontId="25" fillId="0" borderId="0" xfId="0" applyNumberFormat="1" applyFont="1"/>
    <xf numFmtId="43" fontId="3" fillId="0" borderId="0" xfId="1" applyFont="1" applyAlignment="1">
      <alignment vertical="center"/>
    </xf>
    <xf numFmtId="9" fontId="3" fillId="0" borderId="0" xfId="3" applyFont="1"/>
    <xf numFmtId="0" fontId="3" fillId="6" borderId="2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43" fontId="3" fillId="4" borderId="34" xfId="3" applyNumberFormat="1" applyFont="1" applyFill="1" applyBorder="1" applyAlignment="1">
      <alignment horizontal="center"/>
    </xf>
    <xf numFmtId="43" fontId="3" fillId="6" borderId="34" xfId="3" applyNumberFormat="1" applyFont="1" applyFill="1" applyBorder="1" applyAlignment="1">
      <alignment horizontal="center"/>
    </xf>
    <xf numFmtId="43" fontId="3" fillId="5" borderId="34" xfId="2" applyNumberFormat="1" applyFont="1" applyFill="1" applyBorder="1" applyAlignment="1">
      <alignment horizontal="center" vertical="center"/>
    </xf>
    <xf numFmtId="43" fontId="3" fillId="5" borderId="9" xfId="2" applyNumberFormat="1" applyFont="1" applyFill="1" applyBorder="1" applyAlignment="1">
      <alignment horizontal="center" vertical="center"/>
    </xf>
    <xf numFmtId="43" fontId="3" fillId="4" borderId="9" xfId="3" applyNumberFormat="1" applyFont="1" applyFill="1" applyBorder="1" applyAlignment="1">
      <alignment horizontal="center"/>
    </xf>
    <xf numFmtId="43" fontId="3" fillId="6" borderId="9" xfId="3" applyNumberFormat="1" applyFont="1" applyFill="1" applyBorder="1" applyAlignment="1">
      <alignment horizontal="center"/>
    </xf>
    <xf numFmtId="2" fontId="3" fillId="5" borderId="5" xfId="3" applyNumberFormat="1" applyFont="1" applyFill="1" applyBorder="1" applyAlignment="1">
      <alignment horizontal="center" vertical="center"/>
    </xf>
    <xf numFmtId="2" fontId="3" fillId="4" borderId="5" xfId="1" applyNumberFormat="1" applyFont="1" applyFill="1" applyBorder="1" applyAlignment="1">
      <alignment horizontal="center" vertical="center"/>
    </xf>
    <xf numFmtId="2" fontId="3" fillId="3" borderId="5" xfId="3" applyNumberFormat="1" applyFont="1" applyFill="1" applyBorder="1" applyAlignment="1">
      <alignment horizontal="center" vertical="center"/>
    </xf>
    <xf numFmtId="4" fontId="0" fillId="0" borderId="0" xfId="0" applyNumberFormat="1" applyFont="1"/>
    <xf numFmtId="4" fontId="0" fillId="0" borderId="21" xfId="0" applyNumberFormat="1" applyBorder="1" applyAlignment="1">
      <alignment vertical="center"/>
    </xf>
    <xf numFmtId="43" fontId="0" fillId="0" borderId="21" xfId="1" applyFont="1" applyBorder="1" applyAlignment="1">
      <alignment vertical="center"/>
    </xf>
    <xf numFmtId="4" fontId="0" fillId="0" borderId="28" xfId="0" applyNumberForma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3" fontId="2" fillId="6" borderId="10" xfId="1" applyFont="1" applyFill="1" applyBorder="1"/>
    <xf numFmtId="9" fontId="0" fillId="0" borderId="11" xfId="3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2" fillId="6" borderId="11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1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9" fillId="0" borderId="40" xfId="0" applyNumberFormat="1" applyFont="1" applyBorder="1" applyAlignment="1">
      <alignment vertical="center"/>
    </xf>
    <xf numFmtId="4" fontId="9" fillId="0" borderId="41" xfId="0" applyNumberFormat="1" applyFont="1" applyBorder="1" applyAlignment="1">
      <alignment vertical="center"/>
    </xf>
    <xf numFmtId="9" fontId="3" fillId="3" borderId="5" xfId="3" applyNumberFormat="1" applyFont="1" applyFill="1" applyBorder="1" applyAlignment="1">
      <alignment horizontal="center" vertical="center"/>
    </xf>
    <xf numFmtId="43" fontId="9" fillId="0" borderId="17" xfId="1" applyFont="1" applyBorder="1"/>
    <xf numFmtId="4" fontId="9" fillId="0" borderId="16" xfId="0" applyNumberFormat="1" applyFont="1" applyBorder="1" applyAlignment="1">
      <alignment horizontal="center"/>
    </xf>
    <xf numFmtId="43" fontId="9" fillId="0" borderId="6" xfId="0" applyNumberFormat="1" applyFont="1" applyBorder="1"/>
    <xf numFmtId="4" fontId="13" fillId="0" borderId="0" xfId="0" applyNumberFormat="1" applyFont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3" fontId="13" fillId="6" borderId="11" xfId="0" applyNumberFormat="1" applyFont="1" applyFill="1" applyBorder="1" applyAlignment="1">
      <alignment horizontal="center"/>
    </xf>
    <xf numFmtId="3" fontId="13" fillId="6" borderId="26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3" fontId="13" fillId="6" borderId="11" xfId="0" applyNumberFormat="1" applyFont="1" applyFill="1" applyBorder="1" applyAlignment="1">
      <alignment horizontal="center" vertical="center" wrapText="1"/>
    </xf>
    <xf numFmtId="3" fontId="13" fillId="6" borderId="2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5">
    <cellStyle name="Hiperlink" xfId="4" builtinId="8"/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57150</xdr:rowOff>
    </xdr:from>
    <xdr:to>
      <xdr:col>1</xdr:col>
      <xdr:colOff>338571</xdr:colOff>
      <xdr:row>5</xdr:row>
      <xdr:rowOff>152400</xdr:rowOff>
    </xdr:to>
    <xdr:pic>
      <xdr:nvPicPr>
        <xdr:cNvPr id="3" name="Imagem 2" descr="Resultado de imagem para BRASAO MAQUIN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891021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FEI~1/AppData/Local/Temp/Prefeitura%20Municipal%20de%20Maquine/Relatorios%20Gerenciais/2019/EVOLU&#199;&#195;O%20DA%20FOLHA%202019%20M&#202;S%20A%20M&#202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UÇÃO DA FOLHA 2019"/>
    </sheetNames>
    <sheetDataSet>
      <sheetData sheetId="0" refreshError="1">
        <row r="6">
          <cell r="B6">
            <v>283291.62</v>
          </cell>
          <cell r="C6">
            <v>425739.69</v>
          </cell>
          <cell r="D6">
            <v>431148.65</v>
          </cell>
        </row>
        <row r="7">
          <cell r="B7">
            <v>18406.96</v>
          </cell>
          <cell r="C7">
            <v>21506.85</v>
          </cell>
          <cell r="D7">
            <v>25437.789999999997</v>
          </cell>
        </row>
        <row r="8">
          <cell r="B8">
            <v>26102.86</v>
          </cell>
          <cell r="C8">
            <v>57206.11</v>
          </cell>
          <cell r="D8">
            <v>60129.97</v>
          </cell>
        </row>
        <row r="9">
          <cell r="B9">
            <v>35640.269999999997</v>
          </cell>
          <cell r="C9">
            <v>32482.23</v>
          </cell>
          <cell r="D9">
            <v>35192.910000000003</v>
          </cell>
        </row>
        <row r="10">
          <cell r="B10">
            <v>4062.3999999999996</v>
          </cell>
          <cell r="C10">
            <v>5656.9699999999993</v>
          </cell>
          <cell r="D10">
            <v>5872.99</v>
          </cell>
        </row>
        <row r="11">
          <cell r="B11">
            <v>449478.27</v>
          </cell>
          <cell r="C11">
            <v>226990.96999999997</v>
          </cell>
          <cell r="D11">
            <v>193658.78999999992</v>
          </cell>
        </row>
        <row r="13">
          <cell r="B13">
            <v>212174.5</v>
          </cell>
          <cell r="C13">
            <v>204442.73</v>
          </cell>
          <cell r="D13">
            <v>202129.51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planalto.gov.br/ccivil_03/Constituicao/Constituicao.ht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1"/>
  <sheetViews>
    <sheetView topLeftCell="C4" workbookViewId="0">
      <selection activeCell="R30" sqref="R30"/>
    </sheetView>
  </sheetViews>
  <sheetFormatPr defaultRowHeight="12.75" x14ac:dyDescent="0.2"/>
  <cols>
    <col min="1" max="1" width="24.85546875" style="10" bestFit="1" customWidth="1"/>
    <col min="2" max="2" width="12.140625" style="10" bestFit="1" customWidth="1"/>
    <col min="3" max="3" width="10.7109375" style="10" bestFit="1" customWidth="1"/>
    <col min="4" max="4" width="6.85546875" style="10" bestFit="1" customWidth="1"/>
    <col min="5" max="6" width="10.7109375" style="10" bestFit="1" customWidth="1"/>
    <col min="7" max="7" width="6" style="10" bestFit="1" customWidth="1"/>
    <col min="8" max="9" width="10.7109375" style="10" bestFit="1" customWidth="1"/>
    <col min="10" max="10" width="6.85546875" style="10" bestFit="1" customWidth="1"/>
    <col min="11" max="12" width="9.85546875" style="10" bestFit="1" customWidth="1"/>
    <col min="13" max="13" width="6" style="10" bestFit="1" customWidth="1"/>
    <col min="14" max="15" width="9.85546875" style="10" bestFit="1" customWidth="1"/>
    <col min="16" max="16" width="6.42578125" style="10" bestFit="1" customWidth="1"/>
    <col min="17" max="17" width="9.85546875" style="10" bestFit="1" customWidth="1"/>
    <col min="18" max="18" width="11.28515625" style="10" bestFit="1" customWidth="1"/>
    <col min="19" max="19" width="6.42578125" style="10" bestFit="1" customWidth="1"/>
    <col min="20" max="20" width="16.5703125" style="10" bestFit="1" customWidth="1"/>
    <col min="21" max="21" width="10.140625" style="10" bestFit="1" customWidth="1"/>
    <col min="22" max="22" width="9.140625" style="10"/>
    <col min="23" max="24" width="10.140625" style="10" bestFit="1" customWidth="1"/>
    <col min="25" max="25" width="9.140625" style="10"/>
    <col min="26" max="27" width="10.140625" style="10" bestFit="1" customWidth="1"/>
    <col min="28" max="37" width="9.140625" style="10"/>
    <col min="38" max="38" width="17.5703125" style="10" bestFit="1" customWidth="1"/>
    <col min="39" max="16384" width="9.140625" style="10"/>
  </cols>
  <sheetData>
    <row r="1" spans="1:38" ht="16.5" thickBot="1" x14ac:dyDescent="0.3">
      <c r="A1" s="314" t="s">
        <v>272</v>
      </c>
      <c r="B1" s="313">
        <v>43844</v>
      </c>
    </row>
    <row r="2" spans="1:38" s="54" customFormat="1" ht="15.75" x14ac:dyDescent="0.25">
      <c r="A2" s="350" t="s">
        <v>27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1:38" s="54" customFormat="1" ht="15.75" x14ac:dyDescent="0.25">
      <c r="A3" s="351" t="s">
        <v>31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38" s="54" customFormat="1" ht="13.5" thickBo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</row>
    <row r="5" spans="1:38" s="69" customFormat="1" x14ac:dyDescent="0.2">
      <c r="A5" s="64" t="s">
        <v>25</v>
      </c>
      <c r="B5" s="63">
        <v>43101</v>
      </c>
      <c r="C5" s="63">
        <v>43466</v>
      </c>
      <c r="D5" s="63" t="s">
        <v>24</v>
      </c>
      <c r="E5" s="63">
        <v>43132</v>
      </c>
      <c r="F5" s="63">
        <v>43497</v>
      </c>
      <c r="G5" s="63" t="s">
        <v>24</v>
      </c>
      <c r="H5" s="63">
        <v>43160</v>
      </c>
      <c r="I5" s="63">
        <v>43525</v>
      </c>
      <c r="J5" s="63" t="s">
        <v>24</v>
      </c>
      <c r="K5" s="63">
        <v>43191</v>
      </c>
      <c r="L5" s="63">
        <v>43556</v>
      </c>
      <c r="M5" s="63" t="s">
        <v>24</v>
      </c>
      <c r="N5" s="63">
        <v>43221</v>
      </c>
      <c r="O5" s="63">
        <v>43586</v>
      </c>
      <c r="P5" s="63" t="s">
        <v>24</v>
      </c>
      <c r="Q5" s="63">
        <v>43252</v>
      </c>
      <c r="R5" s="63">
        <v>43617</v>
      </c>
      <c r="S5" s="63" t="s">
        <v>24</v>
      </c>
      <c r="T5" s="62" t="s">
        <v>295</v>
      </c>
    </row>
    <row r="6" spans="1:38" s="54" customFormat="1" x14ac:dyDescent="0.2">
      <c r="A6" s="59" t="s">
        <v>23</v>
      </c>
      <c r="B6" s="38">
        <v>246625.38</v>
      </c>
      <c r="C6" s="38">
        <f>'[1]EVOLUÇÃO DA FOLHA 2019'!$B$6</f>
        <v>283291.62</v>
      </c>
      <c r="D6" s="38">
        <f>(B6-C6)*100/C6</f>
        <v>-12.942931386392576</v>
      </c>
      <c r="E6" s="38">
        <v>387827.77</v>
      </c>
      <c r="F6" s="38">
        <f>'[1]EVOLUÇÃO DA FOLHA 2019'!$C$6</f>
        <v>425739.69</v>
      </c>
      <c r="G6" s="38">
        <f>(E6-F6)*100/F6</f>
        <v>-8.9049531651606131</v>
      </c>
      <c r="H6" s="38">
        <v>428486.36</v>
      </c>
      <c r="I6" s="38">
        <f>'[1]EVOLUÇÃO DA FOLHA 2019'!$D$6</f>
        <v>431148.65</v>
      </c>
      <c r="J6" s="38">
        <f t="shared" ref="J6:J14" si="0">(H6-I6)*100/I6</f>
        <v>-0.61748772726066448</v>
      </c>
      <c r="K6" s="38">
        <v>443184.1</v>
      </c>
      <c r="L6" s="38">
        <f>'folha mensal'!E6</f>
        <v>460687.11</v>
      </c>
      <c r="M6" s="38">
        <f t="shared" ref="M6:M14" si="1">(K6-L6)*100/L6</f>
        <v>-3.7993270530186987</v>
      </c>
      <c r="N6" s="38">
        <v>433147.41</v>
      </c>
      <c r="O6" s="38">
        <f>'folha mensal'!F6</f>
        <v>464671.01</v>
      </c>
      <c r="P6" s="38">
        <f t="shared" ref="P6:P13" si="2">(N6-O6)*100/O6</f>
        <v>-6.7840685821997022</v>
      </c>
      <c r="Q6" s="38">
        <v>442621.81</v>
      </c>
      <c r="R6" s="38">
        <f>'folha mensal'!G6</f>
        <v>467201.14</v>
      </c>
      <c r="S6" s="38">
        <f>(R6-Q6)/Q6*100</f>
        <v>5.5531222015471897</v>
      </c>
      <c r="T6" s="58">
        <f>(R6-B6)/B6*100</f>
        <v>89.437575321728858</v>
      </c>
    </row>
    <row r="7" spans="1:38" s="54" customFormat="1" x14ac:dyDescent="0.2">
      <c r="A7" s="59" t="s">
        <v>22</v>
      </c>
      <c r="B7" s="38">
        <v>17268.330000000002</v>
      </c>
      <c r="C7" s="38">
        <f>'[1]EVOLUÇÃO DA FOLHA 2019'!$B$7</f>
        <v>18406.96</v>
      </c>
      <c r="D7" s="38">
        <f t="shared" ref="D7:D14" si="3">(B7-C7)*100/C7</f>
        <v>-6.1858666504409063</v>
      </c>
      <c r="E7" s="38">
        <v>20922.78</v>
      </c>
      <c r="F7" s="38">
        <f>'[1]EVOLUÇÃO DA FOLHA 2019'!$C$7</f>
        <v>21506.85</v>
      </c>
      <c r="G7" s="38">
        <f t="shared" ref="G7:G14" si="4">(E7-F7)*100/F7</f>
        <v>-2.7157394039573428</v>
      </c>
      <c r="H7" s="38">
        <f>9007.49+5988.88</f>
        <v>14996.369999999999</v>
      </c>
      <c r="I7" s="38">
        <f>'[1]EVOLUÇÃO DA FOLHA 2019'!$D$7</f>
        <v>25437.789999999997</v>
      </c>
      <c r="J7" s="38">
        <f t="shared" si="0"/>
        <v>-41.046883396710165</v>
      </c>
      <c r="K7" s="38">
        <v>27718.71</v>
      </c>
      <c r="L7" s="38">
        <f>'folha mensal'!E7</f>
        <v>24713.29</v>
      </c>
      <c r="M7" s="38">
        <f t="shared" si="1"/>
        <v>12.1611489202773</v>
      </c>
      <c r="N7" s="38">
        <v>26404.37</v>
      </c>
      <c r="O7" s="38">
        <f>'folha mensal'!F7</f>
        <v>27765.58</v>
      </c>
      <c r="P7" s="38">
        <f t="shared" si="2"/>
        <v>-4.9025087896597253</v>
      </c>
      <c r="Q7" s="38">
        <v>26063.39</v>
      </c>
      <c r="R7" s="38">
        <f>'folha mensal'!G7</f>
        <v>27143.55</v>
      </c>
      <c r="S7" s="38">
        <f t="shared" ref="S7:S16" si="5">(R7-Q7)/Q7*100</f>
        <v>4.1443572766244143</v>
      </c>
      <c r="T7" s="58">
        <f t="shared" ref="T7:T16" si="6">(R7-B7)/B7*100</f>
        <v>57.186884892748722</v>
      </c>
    </row>
    <row r="8" spans="1:38" s="54" customFormat="1" x14ac:dyDescent="0.2">
      <c r="A8" s="59" t="s">
        <v>21</v>
      </c>
      <c r="B8" s="38">
        <v>27536.799999999999</v>
      </c>
      <c r="C8" s="38">
        <f>'[1]EVOLUÇÃO DA FOLHA 2019'!$B$8</f>
        <v>26102.86</v>
      </c>
      <c r="D8" s="38">
        <f t="shared" si="3"/>
        <v>5.4934210274276412</v>
      </c>
      <c r="E8" s="38">
        <v>59270.82</v>
      </c>
      <c r="F8" s="38">
        <f>'[1]EVOLUÇÃO DA FOLHA 2019'!$C$8</f>
        <v>57206.11</v>
      </c>
      <c r="G8" s="38">
        <f t="shared" si="4"/>
        <v>3.6092473338949267</v>
      </c>
      <c r="H8" s="38">
        <v>65259.53</v>
      </c>
      <c r="I8" s="38">
        <f>'[1]EVOLUÇÃO DA FOLHA 2019'!$D$8</f>
        <v>60129.97</v>
      </c>
      <c r="J8" s="38">
        <f t="shared" si="0"/>
        <v>8.5307875590159075</v>
      </c>
      <c r="K8" s="38">
        <v>68110.36</v>
      </c>
      <c r="L8" s="38">
        <f>'folha mensal'!E8</f>
        <v>65766.25</v>
      </c>
      <c r="M8" s="38">
        <f t="shared" si="1"/>
        <v>3.5643053998061323</v>
      </c>
      <c r="N8" s="38">
        <v>65996.03</v>
      </c>
      <c r="O8" s="38">
        <f>'folha mensal'!F8</f>
        <v>66055.17</v>
      </c>
      <c r="P8" s="38">
        <f t="shared" si="2"/>
        <v>-8.9531220644802553E-2</v>
      </c>
      <c r="Q8" s="38">
        <v>67560.509999999995</v>
      </c>
      <c r="R8" s="38">
        <f>'folha mensal'!G8</f>
        <v>65786.86</v>
      </c>
      <c r="S8" s="38">
        <f t="shared" si="5"/>
        <v>-2.6252762153512377</v>
      </c>
      <c r="T8" s="58">
        <f t="shared" si="6"/>
        <v>138.90524679701343</v>
      </c>
    </row>
    <row r="9" spans="1:38" s="54" customFormat="1" x14ac:dyDescent="0.2">
      <c r="A9" s="59" t="s">
        <v>20</v>
      </c>
      <c r="B9" s="38">
        <v>38274.769999999997</v>
      </c>
      <c r="C9" s="38">
        <f>'[1]EVOLUÇÃO DA FOLHA 2019'!$B$9</f>
        <v>35640.269999999997</v>
      </c>
      <c r="D9" s="38">
        <f t="shared" si="3"/>
        <v>7.3919193092532698</v>
      </c>
      <c r="E9" s="38">
        <v>29069.59</v>
      </c>
      <c r="F9" s="38">
        <f>'[1]EVOLUÇÃO DA FOLHA 2019'!$C$9</f>
        <v>32482.23</v>
      </c>
      <c r="G9" s="38">
        <f t="shared" si="4"/>
        <v>-10.506175222575543</v>
      </c>
      <c r="H9" s="38">
        <v>34914.379999999997</v>
      </c>
      <c r="I9" s="38">
        <f>'[1]EVOLUÇÃO DA FOLHA 2019'!$D$9</f>
        <v>35192.910000000003</v>
      </c>
      <c r="J9" s="38">
        <f t="shared" si="0"/>
        <v>-0.79143782085654779</v>
      </c>
      <c r="K9" s="38">
        <v>42752.639999999999</v>
      </c>
      <c r="L9" s="38">
        <f>'folha mensal'!E9</f>
        <v>34125.49</v>
      </c>
      <c r="M9" s="38">
        <f t="shared" si="1"/>
        <v>25.280662636639068</v>
      </c>
      <c r="N9" s="38">
        <v>40452.6</v>
      </c>
      <c r="O9" s="38">
        <f>'folha mensal'!F9</f>
        <v>35445.58</v>
      </c>
      <c r="P9" s="38">
        <f t="shared" si="2"/>
        <v>14.125936153393445</v>
      </c>
      <c r="Q9" s="38">
        <v>37280.76</v>
      </c>
      <c r="R9" s="38">
        <f>'folha mensal'!G9</f>
        <v>31716.79</v>
      </c>
      <c r="S9" s="38">
        <f t="shared" si="5"/>
        <v>-14.924507976768716</v>
      </c>
      <c r="T9" s="58">
        <f t="shared" si="6"/>
        <v>-17.133950119099335</v>
      </c>
    </row>
    <row r="10" spans="1:38" s="54" customFormat="1" x14ac:dyDescent="0.2">
      <c r="A10" s="59" t="s">
        <v>19</v>
      </c>
      <c r="B10" s="38">
        <v>2238.4</v>
      </c>
      <c r="C10" s="38">
        <f>'[1]EVOLUÇÃO DA FOLHA 2019'!$B$10</f>
        <v>4062.3999999999996</v>
      </c>
      <c r="D10" s="38">
        <f t="shared" si="3"/>
        <v>-44.899566758566351</v>
      </c>
      <c r="E10" s="38">
        <v>6315.12</v>
      </c>
      <c r="F10" s="38">
        <f>'[1]EVOLUÇÃO DA FOLHA 2019'!$C$10</f>
        <v>5656.9699999999993</v>
      </c>
      <c r="G10" s="38">
        <f t="shared" si="4"/>
        <v>11.634320139580034</v>
      </c>
      <c r="H10" s="38">
        <f>273.52+3197.91+1461.55+1752.36</f>
        <v>6685.3399999999992</v>
      </c>
      <c r="I10" s="38">
        <f>'[1]EVOLUÇÃO DA FOLHA 2019'!$D$10</f>
        <v>5872.99</v>
      </c>
      <c r="J10" s="38">
        <f t="shared" si="0"/>
        <v>13.831966340824682</v>
      </c>
      <c r="K10" s="38">
        <v>6016</v>
      </c>
      <c r="L10" s="38">
        <f>'folha mensal'!E10</f>
        <v>8257.16</v>
      </c>
      <c r="M10" s="38">
        <f t="shared" si="1"/>
        <v>-27.142019774353411</v>
      </c>
      <c r="N10" s="38">
        <v>6633.93</v>
      </c>
      <c r="O10" s="38">
        <f>'folha mensal'!F10</f>
        <v>9698.17</v>
      </c>
      <c r="P10" s="38">
        <f>(N10-O10)*100/O10</f>
        <v>-31.596063999703038</v>
      </c>
      <c r="Q10" s="38">
        <f>273.52+3197.91+1461.55+1700.95</f>
        <v>6633.9299999999994</v>
      </c>
      <c r="R10" s="38">
        <f>'folha mensal'!G10</f>
        <v>9502.16</v>
      </c>
      <c r="S10" s="38">
        <f t="shared" si="5"/>
        <v>43.23575919552966</v>
      </c>
      <c r="T10" s="58">
        <f>(R10-B10)/B10*100</f>
        <v>324.50679056468903</v>
      </c>
    </row>
    <row r="11" spans="1:38" s="54" customFormat="1" x14ac:dyDescent="0.2">
      <c r="A11" s="59" t="s">
        <v>30</v>
      </c>
      <c r="B11" s="38">
        <f>B12-B6-B7-B8-B9-B10</f>
        <v>432922.65999999992</v>
      </c>
      <c r="C11" s="38">
        <f>'[1]EVOLUÇÃO DA FOLHA 2019'!$B$11</f>
        <v>449478.27</v>
      </c>
      <c r="D11" s="38">
        <f t="shared" si="3"/>
        <v>-3.6832948565010946</v>
      </c>
      <c r="E11" s="38">
        <f>E12-E6-E7-E8-E9-E10</f>
        <v>192959.08</v>
      </c>
      <c r="F11" s="38">
        <f>'[1]EVOLUÇÃO DA FOLHA 2019'!$C$11</f>
        <v>226990.96999999997</v>
      </c>
      <c r="G11" s="38">
        <f t="shared" si="4"/>
        <v>-14.992618428830006</v>
      </c>
      <c r="H11" s="33">
        <f>707404.3-H6-H7-H8-H9-H10</f>
        <v>157062.32000000007</v>
      </c>
      <c r="I11" s="33">
        <f>'[1]EVOLUÇÃO DA FOLHA 2019'!$D$11</f>
        <v>193658.78999999992</v>
      </c>
      <c r="J11" s="38">
        <f t="shared" si="0"/>
        <v>-18.897396808066325</v>
      </c>
      <c r="K11" s="33">
        <v>142335.22</v>
      </c>
      <c r="L11" s="38">
        <f>'folha mensal'!E11</f>
        <v>109383.8</v>
      </c>
      <c r="M11" s="38">
        <f t="shared" si="1"/>
        <v>30.124588833081315</v>
      </c>
      <c r="N11" s="33">
        <v>152494.9</v>
      </c>
      <c r="O11" s="38">
        <f>'folha mensal'!F11</f>
        <v>117175.8</v>
      </c>
      <c r="P11" s="38">
        <f t="shared" si="2"/>
        <v>30.141974708088181</v>
      </c>
      <c r="Q11" s="33">
        <f>724590.31-Q6-Q7-Q8-Q9-Q10</f>
        <v>144429.91000000003</v>
      </c>
      <c r="R11" s="38">
        <f>'folha mensal'!G11</f>
        <v>114128.8</v>
      </c>
      <c r="S11" s="38">
        <f t="shared" si="5"/>
        <v>-20.979802590751476</v>
      </c>
      <c r="T11" s="58">
        <f t="shared" si="6"/>
        <v>-73.637600766843676</v>
      </c>
    </row>
    <row r="12" spans="1:38" s="54" customFormat="1" x14ac:dyDescent="0.2">
      <c r="A12" s="61" t="s">
        <v>29</v>
      </c>
      <c r="B12" s="15">
        <v>764866.34</v>
      </c>
      <c r="C12" s="15">
        <f>SUM(C6:C11)</f>
        <v>816982.38000000012</v>
      </c>
      <c r="D12" s="15">
        <f t="shared" si="3"/>
        <v>-6.3790898403463903</v>
      </c>
      <c r="E12" s="15">
        <v>696365.16</v>
      </c>
      <c r="F12" s="15">
        <f>SUM(F6:F11)</f>
        <v>769582.82</v>
      </c>
      <c r="G12" s="15">
        <f t="shared" si="4"/>
        <v>-9.5139415924071589</v>
      </c>
      <c r="H12" s="15">
        <f>SUM(H6:H11)</f>
        <v>707404.3</v>
      </c>
      <c r="I12" s="15">
        <f>SUM(I6:I11)</f>
        <v>751441.1</v>
      </c>
      <c r="J12" s="38">
        <f t="shared" si="0"/>
        <v>-5.8603129373679357</v>
      </c>
      <c r="K12" s="15">
        <f>SUM(K6:K11)</f>
        <v>730117.03</v>
      </c>
      <c r="L12" s="15">
        <f>SUM(L6:L11)</f>
        <v>702933.1</v>
      </c>
      <c r="M12" s="38">
        <f>(K12-L12)*100/L12</f>
        <v>3.8672143906724625</v>
      </c>
      <c r="N12" s="15">
        <f>SUM(N6:N11)</f>
        <v>725129.24</v>
      </c>
      <c r="O12" s="15">
        <f>SUM(O6:O11)</f>
        <v>720811.31</v>
      </c>
      <c r="P12" s="38">
        <f>(N12-O12)*100/O12</f>
        <v>0.59903749290503427</v>
      </c>
      <c r="Q12" s="15">
        <f>SUM(Q6:Q11)</f>
        <v>724590.31</v>
      </c>
      <c r="R12" s="15">
        <f>SUM(R6:R11)</f>
        <v>715479.30000000016</v>
      </c>
      <c r="S12" s="38">
        <f t="shared" si="5"/>
        <v>-1.2574015791074948</v>
      </c>
      <c r="T12" s="58">
        <f t="shared" si="6"/>
        <v>-6.4569503738391472</v>
      </c>
    </row>
    <row r="13" spans="1:38" s="54" customFormat="1" x14ac:dyDescent="0.2">
      <c r="A13" s="59" t="s">
        <v>16</v>
      </c>
      <c r="B13" s="38">
        <v>203232.71</v>
      </c>
      <c r="C13" s="38">
        <f>'[1]EVOLUÇÃO DA FOLHA 2019'!$B$13</f>
        <v>212174.5</v>
      </c>
      <c r="D13" s="38">
        <f t="shared" si="3"/>
        <v>-4.2143565791365161</v>
      </c>
      <c r="E13" s="38">
        <v>182402.02</v>
      </c>
      <c r="F13" s="38">
        <f>'[1]EVOLUÇÃO DA FOLHA 2019'!$C$13</f>
        <v>204442.73</v>
      </c>
      <c r="G13" s="38">
        <f t="shared" si="4"/>
        <v>-10.780872472207751</v>
      </c>
      <c r="H13" s="44">
        <v>190509.17</v>
      </c>
      <c r="I13" s="44">
        <f>'[1]EVOLUÇÃO DA FOLHA 2019'!$D$13</f>
        <v>202129.51</v>
      </c>
      <c r="J13" s="38">
        <f t="shared" si="0"/>
        <v>-5.7489576855947435</v>
      </c>
      <c r="K13" s="44">
        <v>192622.71</v>
      </c>
      <c r="L13" s="38">
        <f>'folha mensal'!E13</f>
        <v>172537.81</v>
      </c>
      <c r="M13" s="38">
        <f t="shared" si="1"/>
        <v>11.640868746392455</v>
      </c>
      <c r="N13" s="44">
        <v>205600.46</v>
      </c>
      <c r="O13" s="38">
        <f>'folha mensal'!F13</f>
        <v>174574.59</v>
      </c>
      <c r="P13" s="38">
        <f t="shared" si="2"/>
        <v>17.772271439961564</v>
      </c>
      <c r="Q13" s="44">
        <v>204484.8</v>
      </c>
      <c r="R13" s="38">
        <f>'folha mensal'!G13</f>
        <v>174770.7</v>
      </c>
      <c r="S13" s="38">
        <f t="shared" si="5"/>
        <v>-14.531202319194374</v>
      </c>
      <c r="T13" s="58">
        <f t="shared" si="6"/>
        <v>-14.004640296338113</v>
      </c>
    </row>
    <row r="14" spans="1:38" s="54" customFormat="1" ht="13.5" thickBot="1" x14ac:dyDescent="0.25">
      <c r="A14" s="57" t="s">
        <v>28</v>
      </c>
      <c r="B14" s="55">
        <v>561633.63</v>
      </c>
      <c r="C14" s="55">
        <f>C12-C13</f>
        <v>604807.88000000012</v>
      </c>
      <c r="D14" s="15">
        <f t="shared" si="3"/>
        <v>-7.1385065287178637</v>
      </c>
      <c r="E14" s="55">
        <v>513963.14</v>
      </c>
      <c r="F14" s="55">
        <f>F12-F13</f>
        <v>565140.09</v>
      </c>
      <c r="G14" s="15">
        <f t="shared" si="4"/>
        <v>-9.0556219432247236</v>
      </c>
      <c r="H14" s="55">
        <f>H12-H13</f>
        <v>516895.13</v>
      </c>
      <c r="I14" s="55">
        <f>I12-I13</f>
        <v>549311.59</v>
      </c>
      <c r="J14" s="38">
        <f t="shared" si="0"/>
        <v>-5.9012881923718314</v>
      </c>
      <c r="K14" s="55">
        <f>K12-K13</f>
        <v>537494.32000000007</v>
      </c>
      <c r="L14" s="55">
        <f>L12-L13</f>
        <v>530395.29</v>
      </c>
      <c r="M14" s="38">
        <f t="shared" si="1"/>
        <v>1.3384413726600075</v>
      </c>
      <c r="N14" s="55">
        <f>N12-N13</f>
        <v>519528.78</v>
      </c>
      <c r="O14" s="55">
        <f>O12-O13</f>
        <v>546236.72000000009</v>
      </c>
      <c r="P14" s="38">
        <f>(N14-O14)*100/O14</f>
        <v>-4.8894442687778401</v>
      </c>
      <c r="Q14" s="55">
        <f>Q12-Q13</f>
        <v>520105.51000000007</v>
      </c>
      <c r="R14" s="55">
        <f>R12-R13</f>
        <v>540708.60000000009</v>
      </c>
      <c r="S14" s="38">
        <f t="shared" si="5"/>
        <v>3.9613289234332516</v>
      </c>
      <c r="T14" s="58">
        <f t="shared" si="6"/>
        <v>-3.7257437735699535</v>
      </c>
    </row>
    <row r="15" spans="1:38" s="54" customFormat="1" ht="13.5" thickBot="1" x14ac:dyDescent="0.25">
      <c r="A15" s="53"/>
      <c r="B15" s="53"/>
      <c r="C15" s="53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53"/>
    </row>
    <row r="16" spans="1:38" ht="13.5" thickBot="1" x14ac:dyDescent="0.25">
      <c r="A16" s="52" t="s">
        <v>14</v>
      </c>
      <c r="B16" s="67">
        <v>286</v>
      </c>
      <c r="C16" s="67">
        <v>294</v>
      </c>
      <c r="D16" s="15">
        <f>(B16-C16)*100/C16</f>
        <v>-2.7210884353741496</v>
      </c>
      <c r="E16" s="67">
        <v>283</v>
      </c>
      <c r="F16" s="67">
        <v>297</v>
      </c>
      <c r="G16" s="15">
        <f>(E16-F16)*100/F16</f>
        <v>-4.7138047138047137</v>
      </c>
      <c r="H16" s="67">
        <v>283</v>
      </c>
      <c r="I16" s="67">
        <v>294</v>
      </c>
      <c r="J16" s="38">
        <f>(H16-I16)*100/I16</f>
        <v>-3.7414965986394559</v>
      </c>
      <c r="K16" s="14">
        <v>292</v>
      </c>
      <c r="L16" s="66">
        <v>281</v>
      </c>
      <c r="M16" s="38">
        <f>(K16-L16)*100/L16</f>
        <v>3.9145907473309607</v>
      </c>
      <c r="N16" s="16">
        <v>290</v>
      </c>
      <c r="O16" s="65">
        <v>289</v>
      </c>
      <c r="P16" s="38">
        <f>(N16-O16)*100/O16</f>
        <v>0.34602076124567471</v>
      </c>
      <c r="Q16" s="16">
        <v>290</v>
      </c>
      <c r="R16" s="65">
        <v>279</v>
      </c>
      <c r="S16" s="38">
        <f t="shared" si="5"/>
        <v>-3.7931034482758621</v>
      </c>
      <c r="T16" s="58">
        <f t="shared" si="6"/>
        <v>-2.4475524475524475</v>
      </c>
    </row>
    <row r="17" spans="1:20" s="19" customFormat="1" x14ac:dyDescent="0.2"/>
    <row r="18" spans="1:20" s="19" customFormat="1" ht="13.5" thickBot="1" x14ac:dyDescent="0.25"/>
    <row r="19" spans="1:20" s="19" customFormat="1" x14ac:dyDescent="0.2">
      <c r="A19" s="64" t="s">
        <v>25</v>
      </c>
      <c r="B19" s="63">
        <v>43282</v>
      </c>
      <c r="C19" s="63">
        <v>43647</v>
      </c>
      <c r="D19" s="63" t="s">
        <v>24</v>
      </c>
      <c r="E19" s="63">
        <v>43313</v>
      </c>
      <c r="F19" s="63">
        <v>43678</v>
      </c>
      <c r="G19" s="63" t="s">
        <v>24</v>
      </c>
      <c r="H19" s="63">
        <v>43344</v>
      </c>
      <c r="I19" s="63">
        <v>43709</v>
      </c>
      <c r="J19" s="63" t="s">
        <v>24</v>
      </c>
      <c r="K19" s="63">
        <v>43374</v>
      </c>
      <c r="L19" s="63">
        <v>43739</v>
      </c>
      <c r="M19" s="63" t="s">
        <v>24</v>
      </c>
      <c r="N19" s="63">
        <v>43405</v>
      </c>
      <c r="O19" s="63">
        <v>43770</v>
      </c>
      <c r="P19" s="63" t="s">
        <v>24</v>
      </c>
      <c r="Q19" s="63">
        <v>39783</v>
      </c>
      <c r="R19" s="63">
        <v>43800</v>
      </c>
      <c r="S19" s="63" t="s">
        <v>24</v>
      </c>
      <c r="T19" s="62" t="s">
        <v>296</v>
      </c>
    </row>
    <row r="20" spans="1:20" s="19" customFormat="1" x14ac:dyDescent="0.2">
      <c r="A20" s="59" t="s">
        <v>23</v>
      </c>
      <c r="B20" s="42">
        <v>441275.86</v>
      </c>
      <c r="C20" s="42">
        <v>453681.82</v>
      </c>
      <c r="D20" s="38">
        <f>(B20-C20)*100/C20</f>
        <v>-2.7345067518905695</v>
      </c>
      <c r="E20" s="42">
        <v>447666.32</v>
      </c>
      <c r="F20" s="42">
        <v>450846.53</v>
      </c>
      <c r="G20" s="38">
        <f>(E20-F20)*100/F20</f>
        <v>-0.70538637615776278</v>
      </c>
      <c r="H20" s="42">
        <v>461333.01</v>
      </c>
      <c r="I20" s="42">
        <v>453254.04</v>
      </c>
      <c r="J20" s="38">
        <f>(H20-I20)*100/I20</f>
        <v>1.782437504583529</v>
      </c>
      <c r="K20" s="38">
        <v>458698.61</v>
      </c>
      <c r="L20" s="38">
        <v>446635.53</v>
      </c>
      <c r="M20" s="38">
        <f>(K20-L20)*100/L20</f>
        <v>2.7008778276103467</v>
      </c>
      <c r="N20" s="38">
        <v>452749.71</v>
      </c>
      <c r="O20" s="38">
        <v>452621.5</v>
      </c>
      <c r="P20" s="38">
        <f>(N20-O20)*100/O20</f>
        <v>2.8326095865976529E-2</v>
      </c>
      <c r="Q20" s="38">
        <v>445760.37</v>
      </c>
      <c r="R20" s="38">
        <f>'folha mensal'!S6</f>
        <v>873292.76</v>
      </c>
      <c r="S20" s="38">
        <f>(R20-Q20)/Q20*100</f>
        <v>95.910811901022072</v>
      </c>
      <c r="T20" s="58">
        <f>(R20-B6)/B6*100</f>
        <v>254.09687356589171</v>
      </c>
    </row>
    <row r="21" spans="1:20" s="19" customFormat="1" x14ac:dyDescent="0.2">
      <c r="A21" s="59" t="s">
        <v>22</v>
      </c>
      <c r="B21" s="39">
        <f>20031.12+5542.5</f>
        <v>25573.62</v>
      </c>
      <c r="C21" s="39">
        <f>SUM(21205.6+5386.5)</f>
        <v>26592.1</v>
      </c>
      <c r="D21" s="38">
        <f t="shared" ref="D21:D28" si="7">(B21-C21)*100/C21</f>
        <v>-3.8300096645244248</v>
      </c>
      <c r="E21" s="39">
        <f>20028.9+5654.6</f>
        <v>25683.5</v>
      </c>
      <c r="F21" s="39">
        <f>20885.01+5386.5</f>
        <v>26271.51</v>
      </c>
      <c r="G21" s="38">
        <f t="shared" ref="G21:G28" si="8">(E21-F21)*100/F21</f>
        <v>-2.2382040468933777</v>
      </c>
      <c r="H21" s="39">
        <f>21116.06+5580.2</f>
        <v>26696.260000000002</v>
      </c>
      <c r="I21" s="39">
        <f>21442.87+5386.5</f>
        <v>26829.37</v>
      </c>
      <c r="J21" s="38">
        <f t="shared" ref="J21:J28" si="9">(H21-I21)*100/I21</f>
        <v>-0.4961353919230938</v>
      </c>
      <c r="K21" s="38">
        <v>28530.85</v>
      </c>
      <c r="L21" s="38">
        <f>20205.26+6156</f>
        <v>26361.26</v>
      </c>
      <c r="M21" s="38">
        <f t="shared" ref="M21:M28" si="10">(K21-L21)*100/L21</f>
        <v>8.2302211654526385</v>
      </c>
      <c r="N21" s="38">
        <v>27755.91</v>
      </c>
      <c r="O21" s="38">
        <v>26521.54</v>
      </c>
      <c r="P21" s="38">
        <f t="shared" ref="P21:P28" si="11">(N21-O21)*100/O21</f>
        <v>4.6542169119892698</v>
      </c>
      <c r="Q21" s="38">
        <v>26493.7</v>
      </c>
      <c r="R21" s="38">
        <f>'folha mensal'!S7</f>
        <v>52039.51</v>
      </c>
      <c r="S21" s="38">
        <f t="shared" ref="S21:S30" si="12">(R21-Q21)/Q21*100</f>
        <v>96.422206033887306</v>
      </c>
      <c r="T21" s="58">
        <f t="shared" ref="T21:T30" si="13">(R21-B7)/B7*100</f>
        <v>201.35809311033549</v>
      </c>
    </row>
    <row r="22" spans="1:20" s="19" customFormat="1" x14ac:dyDescent="0.2">
      <c r="A22" s="59" t="s">
        <v>21</v>
      </c>
      <c r="B22" s="39">
        <v>65676.740000000005</v>
      </c>
      <c r="C22" s="39">
        <v>64746.19</v>
      </c>
      <c r="D22" s="38">
        <f t="shared" si="7"/>
        <v>1.4372274260462321</v>
      </c>
      <c r="E22" s="39">
        <v>67069.119999999995</v>
      </c>
      <c r="F22" s="39">
        <v>64558.23</v>
      </c>
      <c r="G22" s="38">
        <f t="shared" si="8"/>
        <v>3.8893414518954317</v>
      </c>
      <c r="H22" s="39">
        <v>68620.56</v>
      </c>
      <c r="I22" s="39">
        <v>64242.7</v>
      </c>
      <c r="J22" s="38">
        <f t="shared" si="9"/>
        <v>6.8145641450312651</v>
      </c>
      <c r="K22" s="38">
        <v>68909.05</v>
      </c>
      <c r="L22" s="38">
        <v>61697.26</v>
      </c>
      <c r="M22" s="38">
        <f t="shared" si="10"/>
        <v>11.688995589107201</v>
      </c>
      <c r="N22" s="38">
        <v>66282.39</v>
      </c>
      <c r="O22" s="38">
        <v>61867.360000000001</v>
      </c>
      <c r="P22" s="38">
        <f t="shared" si="11"/>
        <v>7.136283170964461</v>
      </c>
      <c r="Q22" s="38">
        <v>64977.17</v>
      </c>
      <c r="R22" s="38">
        <f>'folha mensal'!S8</f>
        <v>124876.29000000001</v>
      </c>
      <c r="S22" s="38">
        <f t="shared" si="12"/>
        <v>92.184870470659177</v>
      </c>
      <c r="T22" s="58">
        <f t="shared" si="13"/>
        <v>353.48874960053462</v>
      </c>
    </row>
    <row r="23" spans="1:20" s="19" customFormat="1" x14ac:dyDescent="0.2">
      <c r="A23" s="59" t="s">
        <v>20</v>
      </c>
      <c r="B23" s="39">
        <v>39642.480000000003</v>
      </c>
      <c r="C23" s="39">
        <v>35015.129999999997</v>
      </c>
      <c r="D23" s="38">
        <f t="shared" si="7"/>
        <v>13.215287220124575</v>
      </c>
      <c r="E23" s="39">
        <v>40878.46</v>
      </c>
      <c r="F23" s="39">
        <v>35327.11</v>
      </c>
      <c r="G23" s="38">
        <f t="shared" si="8"/>
        <v>15.714135687861246</v>
      </c>
      <c r="H23" s="39">
        <v>39827.42</v>
      </c>
      <c r="I23" s="39">
        <v>35950.620000000003</v>
      </c>
      <c r="J23" s="38">
        <f t="shared" si="9"/>
        <v>10.783680503980168</v>
      </c>
      <c r="K23" s="38">
        <v>36386.720000000001</v>
      </c>
      <c r="L23" s="38">
        <v>34006.230000000003</v>
      </c>
      <c r="M23" s="38">
        <f t="shared" si="10"/>
        <v>7.0001585003688964</v>
      </c>
      <c r="N23" s="38">
        <v>37559.64</v>
      </c>
      <c r="O23" s="38">
        <v>34498.74</v>
      </c>
      <c r="P23" s="38">
        <f t="shared" si="11"/>
        <v>8.8724979520991241</v>
      </c>
      <c r="Q23" s="38">
        <v>30998.48</v>
      </c>
      <c r="R23" s="38">
        <f>'folha mensal'!S9</f>
        <v>33143.620000000003</v>
      </c>
      <c r="S23" s="38">
        <f t="shared" si="12"/>
        <v>6.9201457619857587</v>
      </c>
      <c r="T23" s="58">
        <f t="shared" si="13"/>
        <v>-13.406089703478283</v>
      </c>
    </row>
    <row r="24" spans="1:20" s="19" customFormat="1" x14ac:dyDescent="0.2">
      <c r="A24" s="59" t="s">
        <v>19</v>
      </c>
      <c r="B24" s="39">
        <f>273.52+3197.91+1461.55+1752.36</f>
        <v>6685.3399999999992</v>
      </c>
      <c r="C24" s="39">
        <v>9502.16</v>
      </c>
      <c r="D24" s="38">
        <f t="shared" si="7"/>
        <v>-29.643996733374312</v>
      </c>
      <c r="E24" s="39">
        <f>273.52+2826.06+1992.77+1752.36</f>
        <v>6844.71</v>
      </c>
      <c r="F24" s="39">
        <v>9502.16</v>
      </c>
      <c r="G24" s="38">
        <f t="shared" si="8"/>
        <v>-27.966799127777264</v>
      </c>
      <c r="H24" s="39">
        <f>273.52+2826.06+1992.77+1752.36</f>
        <v>6844.71</v>
      </c>
      <c r="I24" s="39">
        <v>10205.459999999999</v>
      </c>
      <c r="J24" s="38">
        <f t="shared" si="9"/>
        <v>-32.930901693799193</v>
      </c>
      <c r="K24" s="38">
        <v>6844.71</v>
      </c>
      <c r="L24" s="38">
        <v>8824.49</v>
      </c>
      <c r="M24" s="38">
        <f t="shared" si="10"/>
        <v>-22.435064236006838</v>
      </c>
      <c r="N24" s="38">
        <v>6322.34</v>
      </c>
      <c r="O24" s="38">
        <v>8952.7000000000007</v>
      </c>
      <c r="P24" s="38">
        <f t="shared" si="11"/>
        <v>-29.380633775285673</v>
      </c>
      <c r="Q24" s="38">
        <v>6402.03</v>
      </c>
      <c r="R24" s="38">
        <f>'folha mensal'!S10</f>
        <v>18068.099999999999</v>
      </c>
      <c r="S24" s="38">
        <f t="shared" si="12"/>
        <v>182.22454440232238</v>
      </c>
      <c r="T24" s="58">
        <f t="shared" si="13"/>
        <v>707.18817012151533</v>
      </c>
    </row>
    <row r="25" spans="1:20" s="19" customFormat="1" x14ac:dyDescent="0.2">
      <c r="A25" s="59" t="s">
        <v>30</v>
      </c>
      <c r="B25" s="34">
        <v>155421.07</v>
      </c>
      <c r="C25" s="34">
        <v>131446.69</v>
      </c>
      <c r="D25" s="38">
        <f t="shared" si="7"/>
        <v>18.238861701272207</v>
      </c>
      <c r="E25" s="34">
        <v>145471.73000000001</v>
      </c>
      <c r="F25" s="307">
        <v>127723.14</v>
      </c>
      <c r="G25" s="38">
        <f t="shared" si="8"/>
        <v>13.896142860252271</v>
      </c>
      <c r="H25" s="34">
        <v>116922.96</v>
      </c>
      <c r="I25" s="34">
        <v>106205.91</v>
      </c>
      <c r="J25" s="38">
        <f t="shared" si="9"/>
        <v>10.090822629362153</v>
      </c>
      <c r="K25" s="38">
        <v>142916.82</v>
      </c>
      <c r="L25" s="38">
        <v>103904.9</v>
      </c>
      <c r="M25" s="38">
        <f t="shared" si="10"/>
        <v>37.545794279191853</v>
      </c>
      <c r="N25" s="38">
        <v>125422.64</v>
      </c>
      <c r="O25" s="38">
        <v>101720.23</v>
      </c>
      <c r="P25" s="38">
        <f t="shared" si="11"/>
        <v>23.301569412495436</v>
      </c>
      <c r="Q25" s="38">
        <v>132534.96</v>
      </c>
      <c r="R25" s="38">
        <f>'folha mensal'!S11</f>
        <v>181053.11</v>
      </c>
      <c r="S25" s="38">
        <f t="shared" si="12"/>
        <v>36.607812761251822</v>
      </c>
      <c r="T25" s="58">
        <f t="shared" si="13"/>
        <v>-58.178878878735517</v>
      </c>
    </row>
    <row r="26" spans="1:20" s="19" customFormat="1" x14ac:dyDescent="0.2">
      <c r="A26" s="61" t="s">
        <v>29</v>
      </c>
      <c r="B26" s="15">
        <f>SUM(B20:B25)</f>
        <v>734275.10999999987</v>
      </c>
      <c r="C26" s="15">
        <f>SUM(C20:C25)</f>
        <v>720984.09000000008</v>
      </c>
      <c r="D26" s="38">
        <f>(B26-C26)*100/C26</f>
        <v>1.8434553805479652</v>
      </c>
      <c r="E26" s="15">
        <f>SUM(E20:E25)</f>
        <v>733613.83999999985</v>
      </c>
      <c r="F26" s="15">
        <f>SUM(F20:F25)</f>
        <v>714228.68</v>
      </c>
      <c r="G26" s="15">
        <f t="shared" si="8"/>
        <v>2.7141391185803121</v>
      </c>
      <c r="H26" s="15">
        <f>SUM(H20:H25)</f>
        <v>720244.92</v>
      </c>
      <c r="I26" s="15">
        <f>SUM(I20:I25)</f>
        <v>696688.1</v>
      </c>
      <c r="J26" s="38">
        <f t="shared" si="9"/>
        <v>3.3812576962345227</v>
      </c>
      <c r="K26" s="15">
        <f>SUM(K20:K25)</f>
        <v>742286.76</v>
      </c>
      <c r="L26" s="15">
        <f>SUM(L20:L25)</f>
        <v>681429.67</v>
      </c>
      <c r="M26" s="38">
        <f t="shared" si="10"/>
        <v>8.9307954553842599</v>
      </c>
      <c r="N26" s="60">
        <f>SUM(N20:N25)</f>
        <v>716092.63</v>
      </c>
      <c r="O26" s="60">
        <f>SUM(O20:O25)</f>
        <v>686182.07</v>
      </c>
      <c r="P26" s="38">
        <f t="shared" si="11"/>
        <v>4.3589830320107401</v>
      </c>
      <c r="Q26" s="15">
        <f>SUM(Q20:Q25)</f>
        <v>707166.71</v>
      </c>
      <c r="R26" s="15">
        <f>SUM(R20:R25)</f>
        <v>1282473.3900000001</v>
      </c>
      <c r="S26" s="38">
        <f t="shared" si="12"/>
        <v>81.353756033001062</v>
      </c>
      <c r="T26" s="58">
        <f t="shared" si="13"/>
        <v>67.672876021711218</v>
      </c>
    </row>
    <row r="27" spans="1:20" s="19" customFormat="1" x14ac:dyDescent="0.2">
      <c r="A27" s="59" t="s">
        <v>16</v>
      </c>
      <c r="B27" s="29">
        <v>208274.05</v>
      </c>
      <c r="C27" s="29">
        <v>170652.72</v>
      </c>
      <c r="D27" s="38">
        <f t="shared" si="7"/>
        <v>22.045549581629867</v>
      </c>
      <c r="E27" s="29">
        <v>201965.36</v>
      </c>
      <c r="F27" s="29">
        <v>171248.23</v>
      </c>
      <c r="G27" s="38">
        <f t="shared" si="8"/>
        <v>17.937195613642242</v>
      </c>
      <c r="H27" s="29">
        <v>201320.49</v>
      </c>
      <c r="I27" s="29">
        <v>169877.52</v>
      </c>
      <c r="J27" s="38">
        <f t="shared" si="9"/>
        <v>18.509200040123027</v>
      </c>
      <c r="K27" s="38">
        <v>202283.43</v>
      </c>
      <c r="L27" s="38">
        <v>165854.56</v>
      </c>
      <c r="M27" s="38">
        <f t="shared" si="10"/>
        <v>21.964346352611585</v>
      </c>
      <c r="N27" s="38">
        <v>199910.37</v>
      </c>
      <c r="O27" s="38">
        <v>170747.58</v>
      </c>
      <c r="P27" s="38">
        <f t="shared" si="11"/>
        <v>17.079474859907247</v>
      </c>
      <c r="Q27" s="38">
        <v>202377.03</v>
      </c>
      <c r="R27" s="38">
        <f>'folha mensal'!S13</f>
        <v>238932.25</v>
      </c>
      <c r="S27" s="38">
        <f t="shared" si="12"/>
        <v>18.06292937493944</v>
      </c>
      <c r="T27" s="58">
        <f t="shared" si="13"/>
        <v>17.565843608541169</v>
      </c>
    </row>
    <row r="28" spans="1:20" s="19" customFormat="1" ht="13.5" thickBot="1" x14ac:dyDescent="0.25">
      <c r="A28" s="57" t="s">
        <v>28</v>
      </c>
      <c r="B28" s="55">
        <f>B26-B27</f>
        <v>526001.05999999982</v>
      </c>
      <c r="C28" s="55">
        <f>C26-C27</f>
        <v>550331.37000000011</v>
      </c>
      <c r="D28" s="38">
        <f t="shared" si="7"/>
        <v>-4.4210290974327489</v>
      </c>
      <c r="E28" s="55">
        <f>E26-E27</f>
        <v>531648.47999999986</v>
      </c>
      <c r="F28" s="55">
        <f>F26-F27</f>
        <v>542980.45000000007</v>
      </c>
      <c r="G28" s="15">
        <f t="shared" si="8"/>
        <v>-2.0869941081672838</v>
      </c>
      <c r="H28" s="55">
        <f>H26-H27</f>
        <v>518924.43000000005</v>
      </c>
      <c r="I28" s="55">
        <f>I26-I27</f>
        <v>526810.57999999996</v>
      </c>
      <c r="J28" s="38">
        <f t="shared" si="9"/>
        <v>-1.4969612037783879</v>
      </c>
      <c r="K28" s="56">
        <f>K26-K27</f>
        <v>540003.33000000007</v>
      </c>
      <c r="L28" s="56">
        <f>L26-L27</f>
        <v>515575.11000000004</v>
      </c>
      <c r="M28" s="38">
        <f t="shared" si="10"/>
        <v>4.7380526185602765</v>
      </c>
      <c r="N28" s="56">
        <f>N26-N27</f>
        <v>516182.26</v>
      </c>
      <c r="O28" s="56">
        <f>O26-O27</f>
        <v>515434.49</v>
      </c>
      <c r="P28" s="38">
        <f t="shared" si="11"/>
        <v>0.14507566228251792</v>
      </c>
      <c r="Q28" s="55">
        <f>Q26-Q27</f>
        <v>504789.67999999993</v>
      </c>
      <c r="R28" s="55">
        <f>R26-R27</f>
        <v>1043541.1400000001</v>
      </c>
      <c r="S28" s="38">
        <f t="shared" si="12"/>
        <v>106.72790695721044</v>
      </c>
      <c r="T28" s="58">
        <f t="shared" si="13"/>
        <v>85.804603616774173</v>
      </c>
    </row>
    <row r="29" spans="1:20" s="19" customFormat="1" ht="13.5" thickBot="1" x14ac:dyDescent="0.25">
      <c r="A29" s="54"/>
      <c r="T29" s="53"/>
    </row>
    <row r="30" spans="1:20" s="19" customFormat="1" ht="13.5" thickBot="1" x14ac:dyDescent="0.25">
      <c r="A30" s="52" t="s">
        <v>14</v>
      </c>
      <c r="B30" s="14">
        <v>294</v>
      </c>
      <c r="C30" s="14">
        <v>279</v>
      </c>
      <c r="D30" s="15">
        <f>(B30-C30)*100/C30</f>
        <v>5.376344086021505</v>
      </c>
      <c r="E30" s="14">
        <v>295</v>
      </c>
      <c r="F30" s="14">
        <v>273</v>
      </c>
      <c r="G30" s="15">
        <f>(E30-F30)*100/F30</f>
        <v>8.0586080586080584</v>
      </c>
      <c r="H30" s="13">
        <v>296</v>
      </c>
      <c r="I30" s="315">
        <v>274</v>
      </c>
      <c r="J30" s="15">
        <f>(H30-I30)*100/I30</f>
        <v>8.0291970802919703</v>
      </c>
      <c r="K30" s="51">
        <v>296</v>
      </c>
      <c r="L30" s="51">
        <v>273</v>
      </c>
      <c r="M30" s="15">
        <f>(K30-L30)*100/L30</f>
        <v>8.4249084249084252</v>
      </c>
      <c r="N30" s="51">
        <v>291</v>
      </c>
      <c r="O30" s="50">
        <v>273</v>
      </c>
      <c r="P30" s="15">
        <f>(N30-O30)*100/O30</f>
        <v>6.5934065934065931</v>
      </c>
      <c r="Q30" s="51">
        <v>289</v>
      </c>
      <c r="R30" s="50">
        <v>272</v>
      </c>
      <c r="S30" s="38">
        <f t="shared" si="12"/>
        <v>-5.8823529411764701</v>
      </c>
      <c r="T30" s="58">
        <f t="shared" si="13"/>
        <v>-4.895104895104895</v>
      </c>
    </row>
    <row r="31" spans="1:20" s="19" customFormat="1" x14ac:dyDescent="0.2"/>
    <row r="32" spans="1:20" s="19" customFormat="1" x14ac:dyDescent="0.2"/>
    <row r="33" spans="5:5" s="19" customFormat="1" x14ac:dyDescent="0.2"/>
    <row r="34" spans="5:5" s="19" customFormat="1" x14ac:dyDescent="0.2"/>
    <row r="35" spans="5:5" s="19" customFormat="1" x14ac:dyDescent="0.2"/>
    <row r="36" spans="5:5" s="19" customFormat="1" x14ac:dyDescent="0.2"/>
    <row r="37" spans="5:5" s="19" customFormat="1" x14ac:dyDescent="0.2"/>
    <row r="38" spans="5:5" s="19" customFormat="1" x14ac:dyDescent="0.2"/>
    <row r="39" spans="5:5" s="19" customFormat="1" x14ac:dyDescent="0.2"/>
    <row r="40" spans="5:5" s="19" customFormat="1" x14ac:dyDescent="0.2"/>
    <row r="41" spans="5:5" s="19" customFormat="1" x14ac:dyDescent="0.2"/>
    <row r="42" spans="5:5" s="19" customFormat="1" x14ac:dyDescent="0.2"/>
    <row r="43" spans="5:5" s="19" customFormat="1" x14ac:dyDescent="0.2"/>
    <row r="44" spans="5:5" s="19" customFormat="1" x14ac:dyDescent="0.2"/>
    <row r="45" spans="5:5" s="19" customFormat="1" x14ac:dyDescent="0.2"/>
    <row r="46" spans="5:5" s="19" customFormat="1" x14ac:dyDescent="0.2">
      <c r="E46" s="19">
        <f>SUM(E35:E45)</f>
        <v>0</v>
      </c>
    </row>
    <row r="47" spans="5:5" s="19" customFormat="1" x14ac:dyDescent="0.2"/>
    <row r="48" spans="5:5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</sheetData>
  <mergeCells count="2">
    <mergeCell ref="A2:T2"/>
    <mergeCell ref="A3:T3"/>
  </mergeCells>
  <pageMargins left="0.511811024" right="0.511811024" top="0.78740157499999996" bottom="0.78740157499999996" header="0.31496062000000002" footer="0.3149606200000000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82"/>
  <sheetViews>
    <sheetView topLeftCell="B1" workbookViewId="0">
      <selection activeCell="M20" sqref="M20"/>
    </sheetView>
  </sheetViews>
  <sheetFormatPr defaultRowHeight="15" x14ac:dyDescent="0.25"/>
  <cols>
    <col min="1" max="1" width="42.5703125" style="107" bestFit="1" customWidth="1"/>
    <col min="2" max="2" width="13.85546875" bestFit="1" customWidth="1"/>
    <col min="3" max="4" width="13.85546875" customWidth="1"/>
    <col min="5" max="5" width="13.85546875" bestFit="1" customWidth="1"/>
    <col min="6" max="6" width="13.85546875" customWidth="1"/>
    <col min="7" max="7" width="13.5703125" bestFit="1" customWidth="1"/>
    <col min="8" max="8" width="9.5703125" bestFit="1" customWidth="1"/>
    <col min="9" max="9" width="12.7109375" bestFit="1" customWidth="1"/>
  </cols>
  <sheetData>
    <row r="1" spans="1:10" ht="16.5" thickBot="1" x14ac:dyDescent="0.3">
      <c r="B1" s="379" t="s">
        <v>272</v>
      </c>
      <c r="C1" s="380"/>
      <c r="D1" s="311">
        <v>43803</v>
      </c>
    </row>
    <row r="2" spans="1:10" ht="15.75" x14ac:dyDescent="0.25">
      <c r="A2" s="288" t="s">
        <v>261</v>
      </c>
      <c r="B2" s="288"/>
    </row>
    <row r="3" spans="1:10" ht="15.75" customHeight="1" thickBot="1" x14ac:dyDescent="0.3">
      <c r="A3" s="378" t="s">
        <v>269</v>
      </c>
      <c r="B3" s="378"/>
    </row>
    <row r="4" spans="1:10" ht="15.75" thickBot="1" x14ac:dyDescent="0.3">
      <c r="C4" s="289" t="s">
        <v>262</v>
      </c>
      <c r="D4" s="289" t="s">
        <v>263</v>
      </c>
      <c r="E4" s="289" t="s">
        <v>264</v>
      </c>
      <c r="F4" s="335" t="s">
        <v>292</v>
      </c>
      <c r="G4" s="381" t="s">
        <v>293</v>
      </c>
      <c r="H4" s="382"/>
      <c r="I4" s="381" t="s">
        <v>294</v>
      </c>
      <c r="J4" s="382"/>
    </row>
    <row r="5" spans="1:10" ht="15.75" thickBot="1" x14ac:dyDescent="0.3">
      <c r="A5" s="113" t="s">
        <v>133</v>
      </c>
      <c r="B5" s="290" t="s">
        <v>265</v>
      </c>
      <c r="C5" s="291" t="s">
        <v>266</v>
      </c>
      <c r="D5" s="291" t="s">
        <v>266</v>
      </c>
      <c r="E5" s="291" t="s">
        <v>267</v>
      </c>
      <c r="F5" s="291" t="s">
        <v>266</v>
      </c>
      <c r="G5" s="292" t="s">
        <v>268</v>
      </c>
      <c r="H5" s="337" t="s">
        <v>24</v>
      </c>
      <c r="I5" s="342" t="s">
        <v>268</v>
      </c>
      <c r="J5" s="343" t="s">
        <v>24</v>
      </c>
    </row>
    <row r="6" spans="1:10" x14ac:dyDescent="0.25">
      <c r="I6" s="341"/>
      <c r="J6" s="341"/>
    </row>
    <row r="7" spans="1:10" x14ac:dyDescent="0.25">
      <c r="A7" s="118" t="s">
        <v>130</v>
      </c>
      <c r="B7" s="284"/>
      <c r="C7" s="284">
        <f>SUM('receita e despesa anual'!C4:H4)</f>
        <v>1157319.19</v>
      </c>
      <c r="D7" s="284">
        <f>SUM('receita e despesa anual'!I4:N4)</f>
        <v>520296.31999999995</v>
      </c>
      <c r="E7" s="284">
        <f>SUM('receita e despesa anual'!C20:H20)</f>
        <v>1090599.26</v>
      </c>
      <c r="F7" s="284">
        <f>SUM('receita e despesa anual'!I20:N20)</f>
        <v>742965.84000000008</v>
      </c>
      <c r="G7" s="284">
        <f>C7-E7</f>
        <v>66719.929999999935</v>
      </c>
      <c r="H7" s="338">
        <f>G7/C7*100</f>
        <v>5.7650413625302397</v>
      </c>
      <c r="I7" s="284">
        <f>D7-F7</f>
        <v>-222669.52000000014</v>
      </c>
      <c r="J7" s="293">
        <f>I7/E7*100</f>
        <v>-20.417171381539369</v>
      </c>
    </row>
    <row r="8" spans="1:10" x14ac:dyDescent="0.25">
      <c r="A8" s="118" t="s">
        <v>128</v>
      </c>
      <c r="B8" s="284"/>
      <c r="C8" s="284">
        <f>SUM('receita e despesa anual'!C5:H5)</f>
        <v>75376.479999999996</v>
      </c>
      <c r="D8" s="284">
        <f>SUM('receita e despesa anual'!I5:N5)</f>
        <v>82009.930000000008</v>
      </c>
      <c r="E8" s="284">
        <f>SUM('receita e despesa anual'!C21:H21)</f>
        <v>95780.84</v>
      </c>
      <c r="F8" s="284">
        <f>SUM('receita e despesa anual'!I21:N21)</f>
        <v>190085.35000000003</v>
      </c>
      <c r="G8" s="284">
        <f t="shared" ref="G8:G12" si="0">C8-E8</f>
        <v>-20404.36</v>
      </c>
      <c r="H8" s="338">
        <f t="shared" ref="H8:H11" si="1">G8/C8*100</f>
        <v>-27.069929505861779</v>
      </c>
      <c r="I8" s="284">
        <f t="shared" ref="I8:I14" si="2">D8-F8</f>
        <v>-108075.42000000003</v>
      </c>
      <c r="J8" s="293">
        <f t="shared" ref="J8:J14" si="3">I8/E8*100</f>
        <v>-112.83615804580545</v>
      </c>
    </row>
    <row r="9" spans="1:10" x14ac:dyDescent="0.25">
      <c r="A9" s="118" t="s">
        <v>126</v>
      </c>
      <c r="B9" s="284"/>
      <c r="C9" s="284">
        <f>SUM('receita e despesa anual'!C6:H6)</f>
        <v>19563.98</v>
      </c>
      <c r="D9" s="284">
        <f>SUM('receita e despesa anual'!I6:N6)</f>
        <v>48803.880000000005</v>
      </c>
      <c r="E9" s="284">
        <f>SUM('receita e despesa anual'!C22:H22)</f>
        <v>17934.93</v>
      </c>
      <c r="F9" s="284">
        <f>SUM('receita e despesa anual'!I22:N22)</f>
        <v>189048.35</v>
      </c>
      <c r="G9" s="284">
        <f t="shared" si="0"/>
        <v>1629.0499999999993</v>
      </c>
      <c r="H9" s="338">
        <f t="shared" si="1"/>
        <v>8.3267821782684273</v>
      </c>
      <c r="I9" s="284">
        <f t="shared" si="2"/>
        <v>-140244.47</v>
      </c>
      <c r="J9" s="293">
        <f t="shared" si="3"/>
        <v>-781.96273974863573</v>
      </c>
    </row>
    <row r="10" spans="1:10" x14ac:dyDescent="0.25">
      <c r="A10" s="118" t="s">
        <v>124</v>
      </c>
      <c r="B10" s="284"/>
      <c r="C10" s="284">
        <f>SUM('receita e despesa anual'!C7:H7)</f>
        <v>208266.08000000002</v>
      </c>
      <c r="D10" s="284">
        <f>SUM('receita e despesa anual'!I7:N7)</f>
        <v>130066.27</v>
      </c>
      <c r="E10" s="284">
        <f>SUM('receita e despesa anual'!C23:H23)</f>
        <v>201863.75000000003</v>
      </c>
      <c r="F10" s="284">
        <f>SUM('receita e despesa anual'!I23:N23)</f>
        <v>164441.72999999998</v>
      </c>
      <c r="G10" s="284">
        <f t="shared" si="0"/>
        <v>6402.3299999999872</v>
      </c>
      <c r="H10" s="338">
        <f t="shared" si="1"/>
        <v>3.0741107721430136</v>
      </c>
      <c r="I10" s="284">
        <f t="shared" si="2"/>
        <v>-34375.459999999977</v>
      </c>
      <c r="J10" s="293">
        <f t="shared" si="3"/>
        <v>-17.029040627651064</v>
      </c>
    </row>
    <row r="11" spans="1:10" x14ac:dyDescent="0.25">
      <c r="A11" s="118" t="s">
        <v>123</v>
      </c>
      <c r="B11" s="284"/>
      <c r="C11" s="284">
        <f>SUM('receita e despesa anual'!C8:H8)</f>
        <v>9638750.4699999988</v>
      </c>
      <c r="D11" s="284">
        <f>SUM('receita e despesa anual'!I8:N8)</f>
        <v>9849708.4199999999</v>
      </c>
      <c r="E11" s="284">
        <f>SUM('receita e despesa anual'!C24:H24)</f>
        <v>10091940.029999999</v>
      </c>
      <c r="F11" s="284">
        <f>SUM('receita e despesa anual'!I24:N24)</f>
        <v>11708416.359999999</v>
      </c>
      <c r="G11" s="284">
        <f t="shared" si="0"/>
        <v>-453189.56000000052</v>
      </c>
      <c r="H11" s="338">
        <f t="shared" si="1"/>
        <v>-4.7017459515164788</v>
      </c>
      <c r="I11" s="284">
        <f t="shared" si="2"/>
        <v>-1858707.9399999995</v>
      </c>
      <c r="J11" s="293">
        <f t="shared" si="3"/>
        <v>-18.417746582665728</v>
      </c>
    </row>
    <row r="12" spans="1:10" ht="15.75" thickBot="1" x14ac:dyDescent="0.3">
      <c r="A12" s="294" t="s">
        <v>121</v>
      </c>
      <c r="B12" s="295"/>
      <c r="C12" s="284">
        <f>SUM('receita e despesa anual'!C9:H9)</f>
        <v>368811.73</v>
      </c>
      <c r="D12" s="284">
        <f>SUM('receita e despesa anual'!I9:N9)</f>
        <v>262956.90000000002</v>
      </c>
      <c r="E12" s="284">
        <f>SUM('receita e despesa anual'!C25:H25)</f>
        <v>84821.48</v>
      </c>
      <c r="F12" s="284">
        <f>SUM('receita e despesa anual'!I25:N25)</f>
        <v>151456.57999999999</v>
      </c>
      <c r="G12" s="284">
        <f t="shared" si="0"/>
        <v>283990.25</v>
      </c>
      <c r="H12" s="339">
        <f>G12/C12*100</f>
        <v>77.001414786888702</v>
      </c>
      <c r="I12" s="284">
        <f t="shared" si="2"/>
        <v>111500.32000000004</v>
      </c>
      <c r="J12" s="293">
        <f t="shared" si="3"/>
        <v>131.45292914011881</v>
      </c>
    </row>
    <row r="13" spans="1:10" ht="15.75" thickBot="1" x14ac:dyDescent="0.3">
      <c r="A13" s="296" t="s">
        <v>120</v>
      </c>
      <c r="B13" s="297">
        <f>SUM(B7:B12)</f>
        <v>0</v>
      </c>
      <c r="C13" s="297">
        <f>SUM(C7:C12)</f>
        <v>11468087.93</v>
      </c>
      <c r="D13" s="297">
        <f>SUM(D7:D12)</f>
        <v>10893841.720000001</v>
      </c>
      <c r="E13" s="297">
        <f>SUM(E7:E12)</f>
        <v>11582940.289999999</v>
      </c>
      <c r="F13" s="297">
        <f>SUM(F7:F12)</f>
        <v>13146414.209999999</v>
      </c>
      <c r="G13" s="297">
        <f>C13-E13</f>
        <v>-114852.3599999994</v>
      </c>
      <c r="H13" s="340">
        <f>G13/C13*100</f>
        <v>-1.0014952858841517</v>
      </c>
      <c r="I13" s="297">
        <f>SUM(I7:I12)</f>
        <v>-2252572.4899999998</v>
      </c>
      <c r="J13" s="298">
        <f>I13/E13*100</f>
        <v>-19.44732886126274</v>
      </c>
    </row>
    <row r="14" spans="1:10" x14ac:dyDescent="0.25">
      <c r="A14" s="118" t="s">
        <v>270</v>
      </c>
      <c r="B14" s="189"/>
      <c r="C14" s="284">
        <f>SUM('receita e despesa anual'!C10:H10)</f>
        <v>824893.37</v>
      </c>
      <c r="D14" s="284">
        <f>SUM('receita e despesa anual'!I10:N10)</f>
        <v>859768.5</v>
      </c>
      <c r="E14" s="284">
        <f>SUM('receita e despesa anual'!C26:H26)</f>
        <v>931406.07</v>
      </c>
      <c r="F14" s="284">
        <f>SUM('receita e despesa anual'!I26:M26)</f>
        <v>764474.67</v>
      </c>
      <c r="G14" s="284">
        <f>C14-E14</f>
        <v>-106512.69999999995</v>
      </c>
      <c r="H14" s="338">
        <f>G14/C14*100</f>
        <v>-12.912299198137568</v>
      </c>
      <c r="I14" s="284">
        <f t="shared" si="2"/>
        <v>95293.829999999958</v>
      </c>
      <c r="J14" s="293">
        <f t="shared" si="3"/>
        <v>10.231179833302994</v>
      </c>
    </row>
    <row r="15" spans="1:10" x14ac:dyDescent="0.25">
      <c r="A15" s="132"/>
    </row>
    <row r="16" spans="1:10" x14ac:dyDescent="0.25">
      <c r="A16" s="118" t="s">
        <v>201</v>
      </c>
      <c r="B16" s="189"/>
      <c r="C16" s="189"/>
      <c r="D16" s="189"/>
      <c r="E16" s="189"/>
      <c r="F16" s="189"/>
      <c r="G16" s="189"/>
      <c r="H16" s="189"/>
    </row>
    <row r="17" spans="1:8" ht="15.75" thickBot="1" x14ac:dyDescent="0.3"/>
    <row r="18" spans="1:8" ht="15.75" thickBot="1" x14ac:dyDescent="0.3">
      <c r="A18" s="296" t="s">
        <v>111</v>
      </c>
      <c r="B18" s="299">
        <f>SUM(B14:B14,B16)</f>
        <v>0</v>
      </c>
      <c r="C18" s="300">
        <f>SUM(C14:C14,C16)</f>
        <v>824893.37</v>
      </c>
      <c r="D18" s="300">
        <f>SUM(D14:D14,D16)</f>
        <v>859768.5</v>
      </c>
      <c r="E18" s="300">
        <f>SUM(E14:E14,E16)</f>
        <v>931406.07</v>
      </c>
      <c r="F18" s="336"/>
      <c r="G18" s="301">
        <f t="shared" ref="G18" si="4">C18-E18</f>
        <v>-106512.69999999995</v>
      </c>
      <c r="H18" s="302">
        <f t="shared" ref="H18:H22" si="5">G18/C18*100</f>
        <v>-12.912299198137568</v>
      </c>
    </row>
    <row r="19" spans="1:8" x14ac:dyDescent="0.25">
      <c r="A19" s="132"/>
    </row>
    <row r="20" spans="1:8" x14ac:dyDescent="0.25">
      <c r="A20" s="118" t="s">
        <v>109</v>
      </c>
      <c r="B20" s="284"/>
      <c r="C20" s="284">
        <v>-1617099.81</v>
      </c>
      <c r="D20" s="284">
        <v>-1337138.1100000001</v>
      </c>
      <c r="E20" s="284">
        <v>-1508167.29</v>
      </c>
      <c r="F20" s="284"/>
      <c r="G20" s="284">
        <f>E20-C20</f>
        <v>108932.52000000002</v>
      </c>
      <c r="H20" s="293">
        <f t="shared" ref="H20" si="6">G20/C20*100</f>
        <v>-6.7362892090130178</v>
      </c>
    </row>
    <row r="21" spans="1:8" ht="15.75" thickBot="1" x14ac:dyDescent="0.3"/>
    <row r="22" spans="1:8" ht="15.75" thickBot="1" x14ac:dyDescent="0.3">
      <c r="A22" s="296" t="s">
        <v>108</v>
      </c>
      <c r="B22" s="297">
        <f>SUM(B13,B18,B20)</f>
        <v>0</v>
      </c>
      <c r="C22" s="297">
        <f>SUM(C13,C18,C20)</f>
        <v>10675881.489999998</v>
      </c>
      <c r="D22" s="297">
        <f>SUM(D13,D18,D20)</f>
        <v>10416472.110000001</v>
      </c>
      <c r="E22" s="297">
        <f>SUM(E13,E18,E20)</f>
        <v>11006179.07</v>
      </c>
      <c r="F22" s="297"/>
      <c r="G22" s="297">
        <f t="shared" ref="G22" si="7">C22-E22</f>
        <v>-330297.58000000194</v>
      </c>
      <c r="H22" s="298">
        <f t="shared" si="5"/>
        <v>-3.0938670526587306</v>
      </c>
    </row>
    <row r="33" spans="1:1" x14ac:dyDescent="0.25">
      <c r="A33" s="106"/>
    </row>
    <row r="34" spans="1:1" x14ac:dyDescent="0.25">
      <c r="A34" s="106"/>
    </row>
    <row r="35" spans="1:1" x14ac:dyDescent="0.25">
      <c r="A35" s="106"/>
    </row>
    <row r="36" spans="1:1" x14ac:dyDescent="0.25">
      <c r="A36" s="106"/>
    </row>
    <row r="37" spans="1:1" x14ac:dyDescent="0.25">
      <c r="A37" s="106"/>
    </row>
    <row r="38" spans="1:1" x14ac:dyDescent="0.25">
      <c r="A38" s="106"/>
    </row>
    <row r="39" spans="1:1" x14ac:dyDescent="0.25">
      <c r="A39" s="106"/>
    </row>
    <row r="40" spans="1:1" x14ac:dyDescent="0.25">
      <c r="A40" s="106"/>
    </row>
    <row r="41" spans="1:1" x14ac:dyDescent="0.25">
      <c r="A41" s="106"/>
    </row>
    <row r="42" spans="1:1" x14ac:dyDescent="0.25">
      <c r="A42" s="106"/>
    </row>
    <row r="43" spans="1:1" x14ac:dyDescent="0.25">
      <c r="A43" s="106"/>
    </row>
    <row r="44" spans="1:1" x14ac:dyDescent="0.25">
      <c r="A44" s="106"/>
    </row>
    <row r="45" spans="1:1" x14ac:dyDescent="0.25">
      <c r="A45" s="106"/>
    </row>
    <row r="46" spans="1:1" x14ac:dyDescent="0.25">
      <c r="A46" s="106"/>
    </row>
    <row r="47" spans="1:1" x14ac:dyDescent="0.25">
      <c r="A47" s="106"/>
    </row>
    <row r="48" spans="1:1" x14ac:dyDescent="0.25">
      <c r="A48" s="106"/>
    </row>
    <row r="49" spans="1:1" x14ac:dyDescent="0.25">
      <c r="A49" s="106"/>
    </row>
    <row r="50" spans="1:1" x14ac:dyDescent="0.25">
      <c r="A50" s="106"/>
    </row>
    <row r="51" spans="1:1" x14ac:dyDescent="0.25">
      <c r="A51" s="106"/>
    </row>
    <row r="52" spans="1:1" x14ac:dyDescent="0.25">
      <c r="A52" s="106"/>
    </row>
    <row r="53" spans="1:1" x14ac:dyDescent="0.25">
      <c r="A53" s="106"/>
    </row>
    <row r="54" spans="1:1" x14ac:dyDescent="0.25">
      <c r="A54" s="106"/>
    </row>
    <row r="55" spans="1:1" x14ac:dyDescent="0.25">
      <c r="A55" s="106"/>
    </row>
    <row r="56" spans="1:1" x14ac:dyDescent="0.25">
      <c r="A56" s="106"/>
    </row>
    <row r="57" spans="1:1" x14ac:dyDescent="0.25">
      <c r="A57" s="106"/>
    </row>
    <row r="58" spans="1:1" x14ac:dyDescent="0.25">
      <c r="A58" s="106"/>
    </row>
    <row r="59" spans="1:1" x14ac:dyDescent="0.25">
      <c r="A59" s="106"/>
    </row>
    <row r="60" spans="1:1" x14ac:dyDescent="0.25">
      <c r="A60" s="106"/>
    </row>
    <row r="61" spans="1:1" x14ac:dyDescent="0.25">
      <c r="A61" s="106"/>
    </row>
    <row r="62" spans="1:1" x14ac:dyDescent="0.25">
      <c r="A62" s="106"/>
    </row>
    <row r="63" spans="1:1" x14ac:dyDescent="0.25">
      <c r="A63" s="106"/>
    </row>
    <row r="64" spans="1:1" x14ac:dyDescent="0.25">
      <c r="A64" s="106"/>
    </row>
    <row r="65" spans="1:1" x14ac:dyDescent="0.25">
      <c r="A65" s="106"/>
    </row>
    <row r="66" spans="1:1" x14ac:dyDescent="0.25">
      <c r="A66" s="106"/>
    </row>
    <row r="67" spans="1:1" x14ac:dyDescent="0.25">
      <c r="A67" s="106"/>
    </row>
    <row r="68" spans="1:1" x14ac:dyDescent="0.25">
      <c r="A68" s="106"/>
    </row>
    <row r="69" spans="1:1" x14ac:dyDescent="0.25">
      <c r="A69" s="106"/>
    </row>
    <row r="70" spans="1:1" x14ac:dyDescent="0.25">
      <c r="A70" s="106"/>
    </row>
    <row r="71" spans="1:1" x14ac:dyDescent="0.25">
      <c r="A71" s="106"/>
    </row>
    <row r="72" spans="1:1" x14ac:dyDescent="0.25">
      <c r="A72" s="106"/>
    </row>
    <row r="73" spans="1:1" x14ac:dyDescent="0.25">
      <c r="A73" s="106"/>
    </row>
    <row r="74" spans="1:1" x14ac:dyDescent="0.25">
      <c r="A74" s="106"/>
    </row>
    <row r="75" spans="1:1" x14ac:dyDescent="0.25">
      <c r="A75" s="106"/>
    </row>
    <row r="76" spans="1:1" x14ac:dyDescent="0.25">
      <c r="A76" s="106"/>
    </row>
    <row r="77" spans="1:1" x14ac:dyDescent="0.25">
      <c r="A77" s="106"/>
    </row>
    <row r="78" spans="1:1" x14ac:dyDescent="0.25">
      <c r="A78" s="106"/>
    </row>
    <row r="79" spans="1:1" x14ac:dyDescent="0.25">
      <c r="A79" s="106"/>
    </row>
    <row r="80" spans="1:1" x14ac:dyDescent="0.25">
      <c r="A80" s="106"/>
    </row>
    <row r="81" spans="1:1" x14ac:dyDescent="0.25">
      <c r="A81" s="106"/>
    </row>
    <row r="82" spans="1:1" x14ac:dyDescent="0.25">
      <c r="A82" s="106"/>
    </row>
  </sheetData>
  <mergeCells count="4">
    <mergeCell ref="A3:B3"/>
    <mergeCell ref="B1:C1"/>
    <mergeCell ref="G4:H4"/>
    <mergeCell ref="I4:J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abSelected="1" workbookViewId="0">
      <selection activeCell="N22" sqref="N22"/>
    </sheetView>
  </sheetViews>
  <sheetFormatPr defaultRowHeight="12.75" x14ac:dyDescent="0.2"/>
  <cols>
    <col min="1" max="1" width="32.28515625" style="1" customWidth="1"/>
    <col min="2" max="2" width="12.140625" style="1" bestFit="1" customWidth="1"/>
    <col min="3" max="7" width="11.42578125" style="1" customWidth="1"/>
    <col min="8" max="13" width="11.42578125" style="1" hidden="1" customWidth="1"/>
    <col min="14" max="16" width="10.7109375" style="1" bestFit="1" customWidth="1"/>
    <col min="17" max="17" width="9.85546875" style="1" bestFit="1" customWidth="1"/>
    <col min="18" max="18" width="12" style="1" customWidth="1"/>
    <col min="19" max="19" width="11.28515625" style="1" bestFit="1" customWidth="1"/>
    <col min="20" max="20" width="6.42578125" style="1" bestFit="1" customWidth="1"/>
    <col min="21" max="16384" width="9.140625" style="1"/>
  </cols>
  <sheetData>
    <row r="1" spans="1:20" ht="16.5" thickBot="1" x14ac:dyDescent="0.3">
      <c r="A1" s="314" t="s">
        <v>272</v>
      </c>
      <c r="B1" s="313">
        <f>'folha anual'!B1</f>
        <v>43844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0" ht="18.75" x14ac:dyDescent="0.3">
      <c r="A2" s="352" t="s">
        <v>27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</row>
    <row r="3" spans="1:20" ht="18.75" x14ac:dyDescent="0.3">
      <c r="A3" s="353" t="s">
        <v>26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</row>
    <row r="4" spans="1:20" ht="13.5" thickBo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20" ht="13.5" thickBot="1" x14ac:dyDescent="0.25">
      <c r="A5" s="48" t="s">
        <v>25</v>
      </c>
      <c r="B5" s="47">
        <v>43466</v>
      </c>
      <c r="C5" s="47">
        <v>43497</v>
      </c>
      <c r="D5" s="47">
        <v>43525</v>
      </c>
      <c r="E5" s="47">
        <v>43556</v>
      </c>
      <c r="F5" s="47">
        <v>43586</v>
      </c>
      <c r="G5" s="47">
        <v>43617</v>
      </c>
      <c r="H5" s="47">
        <v>43647</v>
      </c>
      <c r="I5" s="47">
        <v>43678</v>
      </c>
      <c r="J5" s="47">
        <v>43709</v>
      </c>
      <c r="K5" s="47">
        <v>43739</v>
      </c>
      <c r="L5" s="47">
        <v>43770</v>
      </c>
      <c r="M5" s="47">
        <v>43800</v>
      </c>
      <c r="N5" s="47">
        <v>43647</v>
      </c>
      <c r="O5" s="47">
        <v>43678</v>
      </c>
      <c r="P5" s="47">
        <v>43709</v>
      </c>
      <c r="Q5" s="47">
        <v>43739</v>
      </c>
      <c r="R5" s="47">
        <v>43770</v>
      </c>
      <c r="S5" s="47">
        <v>43800</v>
      </c>
      <c r="T5" s="46" t="s">
        <v>24</v>
      </c>
    </row>
    <row r="6" spans="1:20" x14ac:dyDescent="0.2">
      <c r="A6" s="45" t="s">
        <v>23</v>
      </c>
      <c r="B6" s="44">
        <v>283291.62</v>
      </c>
      <c r="C6" s="44">
        <v>425739.69</v>
      </c>
      <c r="D6" s="44">
        <v>431148.65</v>
      </c>
      <c r="E6" s="44">
        <v>460687.11</v>
      </c>
      <c r="F6" s="44">
        <v>464671.01</v>
      </c>
      <c r="G6" s="44">
        <v>467201.14</v>
      </c>
      <c r="H6" s="43"/>
      <c r="I6" s="43"/>
      <c r="J6" s="43"/>
      <c r="K6" s="43"/>
      <c r="L6" s="43"/>
      <c r="M6" s="43"/>
      <c r="N6" s="42">
        <f>'folha anual'!C20</f>
        <v>453681.82</v>
      </c>
      <c r="O6" s="42">
        <f>'folha anual'!F20</f>
        <v>450846.53</v>
      </c>
      <c r="P6" s="42">
        <f>'folha anual'!I20</f>
        <v>453254.04</v>
      </c>
      <c r="Q6" s="38">
        <f>'folha anual'!L20</f>
        <v>446635.53</v>
      </c>
      <c r="R6" s="38">
        <f>'folha anual'!O20</f>
        <v>452621.5</v>
      </c>
      <c r="S6" s="38">
        <f>447654.89+425637.87</f>
        <v>873292.76</v>
      </c>
      <c r="T6" s="37">
        <f>(S6-B6)/B6*100</f>
        <v>208.26635817889709</v>
      </c>
    </row>
    <row r="7" spans="1:20" x14ac:dyDescent="0.2">
      <c r="A7" s="41" t="s">
        <v>22</v>
      </c>
      <c r="B7" s="38">
        <f>SUM(14811.16+3595.8)</f>
        <v>18406.96</v>
      </c>
      <c r="C7" s="38">
        <f>SUM(17249.07+4257.78)</f>
        <v>21506.85</v>
      </c>
      <c r="D7" s="38">
        <f>SUM(19397.35+6040.44)</f>
        <v>25437.789999999997</v>
      </c>
      <c r="E7" s="38">
        <f>20468.22+4245.07</f>
        <v>24713.29</v>
      </c>
      <c r="F7" s="38">
        <f>(22379.08+5386.5)</f>
        <v>27765.58</v>
      </c>
      <c r="G7" s="38">
        <f>(21757.05+5386.5)</f>
        <v>27143.55</v>
      </c>
      <c r="H7" s="40"/>
      <c r="I7" s="40"/>
      <c r="J7" s="40"/>
      <c r="K7" s="40"/>
      <c r="L7" s="40"/>
      <c r="M7" s="40"/>
      <c r="N7" s="39">
        <f>'folha anual'!C21</f>
        <v>26592.1</v>
      </c>
      <c r="O7" s="42">
        <f>'folha anual'!F21</f>
        <v>26271.51</v>
      </c>
      <c r="P7" s="42">
        <f>'folha anual'!I21</f>
        <v>26829.37</v>
      </c>
      <c r="Q7" s="38">
        <f>'folha anual'!L21</f>
        <v>26361.26</v>
      </c>
      <c r="R7" s="38">
        <f>'folha anual'!O21</f>
        <v>26521.54</v>
      </c>
      <c r="S7" s="38">
        <f>20602.9+6156+25280.61</f>
        <v>52039.51</v>
      </c>
      <c r="T7" s="37">
        <f t="shared" ref="T7:T14" si="0">(S7-B7)/B7*100</f>
        <v>182.71648333021858</v>
      </c>
    </row>
    <row r="8" spans="1:20" x14ac:dyDescent="0.2">
      <c r="A8" s="41" t="s">
        <v>21</v>
      </c>
      <c r="B8" s="38">
        <v>26102.86</v>
      </c>
      <c r="C8" s="38">
        <v>57206.11</v>
      </c>
      <c r="D8" s="38">
        <v>60129.97</v>
      </c>
      <c r="E8" s="38">
        <v>65766.25</v>
      </c>
      <c r="F8" s="38">
        <v>66055.17</v>
      </c>
      <c r="G8" s="38">
        <v>65786.86</v>
      </c>
      <c r="H8" s="40"/>
      <c r="I8" s="40"/>
      <c r="J8" s="40"/>
      <c r="K8" s="40"/>
      <c r="L8" s="40"/>
      <c r="M8" s="40"/>
      <c r="N8" s="39">
        <f>'folha anual'!C22</f>
        <v>64746.19</v>
      </c>
      <c r="O8" s="42">
        <f>'folha anual'!F22</f>
        <v>64558.23</v>
      </c>
      <c r="P8" s="42">
        <f>'folha anual'!I22</f>
        <v>64242.7</v>
      </c>
      <c r="Q8" s="38">
        <f>'folha anual'!L22</f>
        <v>61697.26</v>
      </c>
      <c r="R8" s="38">
        <f>'folha anual'!O22</f>
        <v>61867.360000000001</v>
      </c>
      <c r="S8" s="38">
        <f>62000.83+62875.46</f>
        <v>124876.29000000001</v>
      </c>
      <c r="T8" s="37">
        <f t="shared" si="0"/>
        <v>378.40079592810906</v>
      </c>
    </row>
    <row r="9" spans="1:20" x14ac:dyDescent="0.2">
      <c r="A9" s="41" t="s">
        <v>20</v>
      </c>
      <c r="B9" s="38">
        <v>35640.269999999997</v>
      </c>
      <c r="C9" s="38">
        <v>32482.23</v>
      </c>
      <c r="D9" s="38">
        <v>35192.910000000003</v>
      </c>
      <c r="E9" s="38">
        <v>34125.49</v>
      </c>
      <c r="F9" s="38">
        <v>35445.58</v>
      </c>
      <c r="G9" s="38">
        <v>31716.79</v>
      </c>
      <c r="H9" s="40"/>
      <c r="I9" s="40"/>
      <c r="J9" s="40"/>
      <c r="K9" s="40"/>
      <c r="L9" s="40"/>
      <c r="M9" s="40"/>
      <c r="N9" s="39">
        <f>'folha anual'!C23</f>
        <v>35015.129999999997</v>
      </c>
      <c r="O9" s="42">
        <f>'folha anual'!F23</f>
        <v>35327.11</v>
      </c>
      <c r="P9" s="42">
        <f>'folha anual'!I23</f>
        <v>35950.620000000003</v>
      </c>
      <c r="Q9" s="38">
        <f>'folha anual'!L23</f>
        <v>34006.230000000003</v>
      </c>
      <c r="R9" s="38">
        <f>'folha anual'!O23</f>
        <v>34498.74</v>
      </c>
      <c r="S9" s="38">
        <v>33143.620000000003</v>
      </c>
      <c r="T9" s="37">
        <f t="shared" si="0"/>
        <v>-7.0051377276322384</v>
      </c>
    </row>
    <row r="10" spans="1:20" x14ac:dyDescent="0.2">
      <c r="A10" s="41" t="s">
        <v>19</v>
      </c>
      <c r="B10" s="38">
        <f>SUM(1437.81+1674.04+950.55)</f>
        <v>4062.3999999999996</v>
      </c>
      <c r="C10" s="38">
        <f>SUM(282.91+2064.13+1812.53+1497.4)</f>
        <v>5656.9699999999993</v>
      </c>
      <c r="D10" s="38">
        <f>SUM(282.91+2115.41+1662.14+1812.53)</f>
        <v>5872.99</v>
      </c>
      <c r="E10" s="38">
        <v>8257.16</v>
      </c>
      <c r="F10" s="38">
        <v>9698.17</v>
      </c>
      <c r="G10" s="38">
        <v>9502.16</v>
      </c>
      <c r="H10" s="40"/>
      <c r="I10" s="40"/>
      <c r="J10" s="40"/>
      <c r="K10" s="40"/>
      <c r="L10" s="40"/>
      <c r="M10" s="40"/>
      <c r="N10" s="39">
        <f>'folha anual'!C24</f>
        <v>9502.16</v>
      </c>
      <c r="O10" s="42">
        <f>'folha anual'!F24</f>
        <v>9502.16</v>
      </c>
      <c r="P10" s="42">
        <f>'folha anual'!I24</f>
        <v>10205.459999999999</v>
      </c>
      <c r="Q10" s="38">
        <f>'folha anual'!L24</f>
        <v>8824.49</v>
      </c>
      <c r="R10" s="38">
        <f>'folha anual'!O24</f>
        <v>8952.7000000000007</v>
      </c>
      <c r="S10" s="38">
        <f>9054.41+9013.69</f>
        <v>18068.099999999999</v>
      </c>
      <c r="T10" s="37">
        <f t="shared" si="0"/>
        <v>344.76417881055534</v>
      </c>
    </row>
    <row r="11" spans="1:20" ht="13.5" thickBot="1" x14ac:dyDescent="0.25">
      <c r="A11" s="36" t="s">
        <v>18</v>
      </c>
      <c r="B11" s="33">
        <f>SUM(816982.38-367504.11)</f>
        <v>449478.27</v>
      </c>
      <c r="C11" s="33">
        <f>SUM(769582.82-542591.85)</f>
        <v>226990.96999999997</v>
      </c>
      <c r="D11" s="33">
        <f>SUM(751441.1-557782.31)</f>
        <v>193658.78999999992</v>
      </c>
      <c r="E11" s="33">
        <v>109383.8</v>
      </c>
      <c r="F11" s="33">
        <v>117175.8</v>
      </c>
      <c r="G11" s="33">
        <v>114128.8</v>
      </c>
      <c r="H11" s="33"/>
      <c r="I11" s="33"/>
      <c r="J11" s="33"/>
      <c r="K11" s="35"/>
      <c r="L11" s="35"/>
      <c r="M11" s="35"/>
      <c r="N11" s="303">
        <f>'folha anual'!C25</f>
        <v>131446.69</v>
      </c>
      <c r="O11" s="42">
        <f>'folha anual'!F25</f>
        <v>127723.14</v>
      </c>
      <c r="P11" s="42">
        <f>'folha anual'!I25</f>
        <v>106205.91</v>
      </c>
      <c r="Q11" s="38">
        <f>'folha anual'!L25</f>
        <v>103904.9</v>
      </c>
      <c r="R11" s="38">
        <f>'folha anual'!O25</f>
        <v>101720.23</v>
      </c>
      <c r="S11" s="33">
        <f>123926.04+57127.07</f>
        <v>181053.11</v>
      </c>
      <c r="T11" s="27">
        <f t="shared" si="0"/>
        <v>-59.719274081926145</v>
      </c>
    </row>
    <row r="12" spans="1:20" ht="13.5" thickBot="1" x14ac:dyDescent="0.25">
      <c r="A12" s="32" t="s">
        <v>17</v>
      </c>
      <c r="B12" s="21">
        <f t="shared" ref="B12:S12" si="1">SUM(B6:B11)</f>
        <v>816982.38000000012</v>
      </c>
      <c r="C12" s="21">
        <f t="shared" si="1"/>
        <v>769582.82</v>
      </c>
      <c r="D12" s="21">
        <f t="shared" si="1"/>
        <v>751441.1</v>
      </c>
      <c r="E12" s="21">
        <f t="shared" si="1"/>
        <v>702933.1</v>
      </c>
      <c r="F12" s="21">
        <f t="shared" si="1"/>
        <v>720811.31</v>
      </c>
      <c r="G12" s="21">
        <f t="shared" si="1"/>
        <v>715479.30000000016</v>
      </c>
      <c r="H12" s="21">
        <f t="shared" si="1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720984.09000000008</v>
      </c>
      <c r="O12" s="21">
        <f t="shared" si="1"/>
        <v>714228.68</v>
      </c>
      <c r="P12" s="21">
        <f t="shared" si="1"/>
        <v>696688.1</v>
      </c>
      <c r="Q12" s="21">
        <f t="shared" si="1"/>
        <v>681429.67</v>
      </c>
      <c r="R12" s="21">
        <f t="shared" si="1"/>
        <v>686182.07</v>
      </c>
      <c r="S12" s="21">
        <f t="shared" si="1"/>
        <v>1282473.3900000001</v>
      </c>
      <c r="T12" s="20">
        <f>(S12-B12)/B12*100</f>
        <v>56.976872622393635</v>
      </c>
    </row>
    <row r="13" spans="1:20" ht="13.5" thickBot="1" x14ac:dyDescent="0.25">
      <c r="A13" s="31" t="s">
        <v>16</v>
      </c>
      <c r="B13" s="28">
        <v>212174.5</v>
      </c>
      <c r="C13" s="28">
        <v>204442.73</v>
      </c>
      <c r="D13" s="28">
        <v>202129.51</v>
      </c>
      <c r="E13" s="28">
        <v>172537.81</v>
      </c>
      <c r="F13" s="28">
        <v>174574.59</v>
      </c>
      <c r="G13" s="28">
        <v>174770.7</v>
      </c>
      <c r="H13" s="30"/>
      <c r="I13" s="30"/>
      <c r="J13" s="30"/>
      <c r="K13" s="30"/>
      <c r="L13" s="30"/>
      <c r="M13" s="28"/>
      <c r="N13" s="29">
        <f>'folha anual'!C27</f>
        <v>170652.72</v>
      </c>
      <c r="O13" s="29">
        <f>'folha anual'!F27</f>
        <v>171248.23</v>
      </c>
      <c r="P13" s="29">
        <f>'folha anual'!I27</f>
        <v>169877.52</v>
      </c>
      <c r="Q13" s="28">
        <f>'folha anual'!L27</f>
        <v>165854.56</v>
      </c>
      <c r="R13" s="28">
        <f>'folha anual'!O27</f>
        <v>170747.58</v>
      </c>
      <c r="S13" s="28">
        <f>167775.91+71156.34</f>
        <v>238932.25</v>
      </c>
      <c r="T13" s="27">
        <f t="shared" si="0"/>
        <v>12.611199743607266</v>
      </c>
    </row>
    <row r="14" spans="1:20" ht="13.5" thickBot="1" x14ac:dyDescent="0.25">
      <c r="A14" s="26" t="s">
        <v>15</v>
      </c>
      <c r="B14" s="25">
        <f t="shared" ref="B14:S14" si="2">B12-B13</f>
        <v>604807.88000000012</v>
      </c>
      <c r="C14" s="25">
        <f t="shared" si="2"/>
        <v>565140.09</v>
      </c>
      <c r="D14" s="25">
        <f t="shared" si="2"/>
        <v>549311.59</v>
      </c>
      <c r="E14" s="23">
        <f t="shared" si="2"/>
        <v>530395.29</v>
      </c>
      <c r="F14" s="23">
        <f t="shared" si="2"/>
        <v>546236.72000000009</v>
      </c>
      <c r="G14" s="23">
        <f t="shared" si="2"/>
        <v>540708.60000000009</v>
      </c>
      <c r="H14" s="24">
        <f t="shared" si="2"/>
        <v>0</v>
      </c>
      <c r="I14" s="24">
        <f t="shared" si="2"/>
        <v>0</v>
      </c>
      <c r="J14" s="24">
        <f t="shared" si="2"/>
        <v>0</v>
      </c>
      <c r="K14" s="24">
        <f t="shared" si="2"/>
        <v>0</v>
      </c>
      <c r="L14" s="24">
        <f t="shared" si="2"/>
        <v>0</v>
      </c>
      <c r="M14" s="24">
        <f t="shared" si="2"/>
        <v>0</v>
      </c>
      <c r="N14" s="23">
        <f t="shared" si="2"/>
        <v>550331.37000000011</v>
      </c>
      <c r="O14" s="23">
        <f t="shared" si="2"/>
        <v>542980.45000000007</v>
      </c>
      <c r="P14" s="23">
        <f t="shared" si="2"/>
        <v>526810.57999999996</v>
      </c>
      <c r="Q14" s="22">
        <f t="shared" si="2"/>
        <v>515575.11000000004</v>
      </c>
      <c r="R14" s="22">
        <f t="shared" si="2"/>
        <v>515434.49</v>
      </c>
      <c r="S14" s="21">
        <f t="shared" si="2"/>
        <v>1043541.1400000001</v>
      </c>
      <c r="T14" s="20">
        <f t="shared" si="0"/>
        <v>72.540929856932408</v>
      </c>
    </row>
    <row r="15" spans="1:20" x14ac:dyDescent="0.2">
      <c r="A15" s="9"/>
      <c r="B15" s="18"/>
      <c r="C15" s="18"/>
      <c r="D15" s="19"/>
      <c r="E15" s="18"/>
      <c r="F15" s="19"/>
      <c r="G15" s="19"/>
      <c r="H15" s="19"/>
      <c r="I15" s="19"/>
      <c r="J15" s="19"/>
      <c r="K15" s="19"/>
      <c r="L15" s="19"/>
      <c r="M15" s="19"/>
      <c r="N15" s="18"/>
      <c r="O15" s="18"/>
      <c r="P15" s="18"/>
    </row>
    <row r="16" spans="1:20" x14ac:dyDescent="0.2">
      <c r="A16" s="17" t="s">
        <v>14</v>
      </c>
      <c r="B16" s="16">
        <v>294</v>
      </c>
      <c r="C16" s="16">
        <v>297</v>
      </c>
      <c r="D16" s="16">
        <v>294</v>
      </c>
      <c r="E16" s="14">
        <v>281</v>
      </c>
      <c r="F16" s="16">
        <v>289</v>
      </c>
      <c r="G16" s="16">
        <v>279</v>
      </c>
      <c r="H16" s="16"/>
      <c r="I16" s="16"/>
      <c r="J16" s="16"/>
      <c r="K16" s="16"/>
      <c r="L16" s="16"/>
      <c r="M16" s="15"/>
      <c r="N16" s="14">
        <f>'folha anual'!C30</f>
        <v>279</v>
      </c>
      <c r="O16" s="14">
        <v>273</v>
      </c>
      <c r="P16" s="13">
        <f>'folha anual'!I30</f>
        <v>274</v>
      </c>
      <c r="Q16" s="12">
        <f>'folha anual'!L30</f>
        <v>273</v>
      </c>
      <c r="R16" s="12">
        <f>'folha anual'!O30</f>
        <v>273</v>
      </c>
      <c r="S16" s="12">
        <v>272</v>
      </c>
      <c r="T16" s="11">
        <f>(E16-C16)/C16*100</f>
        <v>-5.3872053872053867</v>
      </c>
    </row>
    <row r="17" spans="1:20" ht="13.5" thickBot="1" x14ac:dyDescent="0.25">
      <c r="A17" s="9"/>
      <c r="B17" s="9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0"/>
      <c r="N17" s="9"/>
      <c r="O17" s="9"/>
      <c r="P17" s="9"/>
    </row>
    <row r="18" spans="1:20" x14ac:dyDescent="0.2">
      <c r="A18" s="8" t="s">
        <v>13</v>
      </c>
      <c r="B18" s="7">
        <v>3.4340000000000002</v>
      </c>
      <c r="C18" s="7">
        <f t="shared" ref="C18:S18" si="3">B18</f>
        <v>3.4340000000000002</v>
      </c>
      <c r="D18" s="7">
        <f t="shared" si="3"/>
        <v>3.4340000000000002</v>
      </c>
      <c r="E18" s="7">
        <f t="shared" si="3"/>
        <v>3.4340000000000002</v>
      </c>
      <c r="F18" s="7">
        <f t="shared" si="3"/>
        <v>3.4340000000000002</v>
      </c>
      <c r="G18" s="7">
        <f t="shared" si="3"/>
        <v>3.4340000000000002</v>
      </c>
      <c r="H18" s="7">
        <f t="shared" si="3"/>
        <v>3.4340000000000002</v>
      </c>
      <c r="I18" s="7">
        <f t="shared" si="3"/>
        <v>3.4340000000000002</v>
      </c>
      <c r="J18" s="7">
        <f t="shared" si="3"/>
        <v>3.4340000000000002</v>
      </c>
      <c r="K18" s="7">
        <f t="shared" si="3"/>
        <v>3.4340000000000002</v>
      </c>
      <c r="L18" s="7">
        <f t="shared" si="3"/>
        <v>3.4340000000000002</v>
      </c>
      <c r="M18" s="7">
        <f t="shared" si="3"/>
        <v>3.4340000000000002</v>
      </c>
      <c r="N18" s="7">
        <f t="shared" si="3"/>
        <v>3.4340000000000002</v>
      </c>
      <c r="O18" s="7">
        <f t="shared" si="3"/>
        <v>3.4340000000000002</v>
      </c>
      <c r="P18" s="7">
        <f t="shared" si="3"/>
        <v>3.4340000000000002</v>
      </c>
      <c r="Q18" s="7">
        <f t="shared" si="3"/>
        <v>3.4340000000000002</v>
      </c>
      <c r="R18" s="7">
        <f t="shared" si="3"/>
        <v>3.4340000000000002</v>
      </c>
      <c r="S18" s="7">
        <f t="shared" si="3"/>
        <v>3.4340000000000002</v>
      </c>
      <c r="T18" s="7">
        <v>3.43</v>
      </c>
    </row>
    <row r="19" spans="1:20" ht="13.5" thickBot="1" x14ac:dyDescent="0.25">
      <c r="A19" s="6" t="s">
        <v>12</v>
      </c>
      <c r="B19" s="5">
        <f>B12*B18%</f>
        <v>28055.174929200006</v>
      </c>
      <c r="C19" s="5">
        <f t="shared" ref="C19:S19" si="4">C12*C18%</f>
        <v>26427.474038799999</v>
      </c>
      <c r="D19" s="5">
        <f t="shared" si="4"/>
        <v>25804.487374</v>
      </c>
      <c r="E19" s="5">
        <f t="shared" si="4"/>
        <v>24138.722654000001</v>
      </c>
      <c r="F19" s="5">
        <f t="shared" si="4"/>
        <v>24752.660385400002</v>
      </c>
      <c r="G19" s="5">
        <f t="shared" si="4"/>
        <v>24569.559162000009</v>
      </c>
      <c r="H19" s="5">
        <f t="shared" si="4"/>
        <v>0</v>
      </c>
      <c r="I19" s="5">
        <f t="shared" si="4"/>
        <v>0</v>
      </c>
      <c r="J19" s="5">
        <f t="shared" si="4"/>
        <v>0</v>
      </c>
      <c r="K19" s="5">
        <f t="shared" si="4"/>
        <v>0</v>
      </c>
      <c r="L19" s="5">
        <f t="shared" si="4"/>
        <v>0</v>
      </c>
      <c r="M19" s="5">
        <f t="shared" si="4"/>
        <v>0</v>
      </c>
      <c r="N19" s="5">
        <f t="shared" si="4"/>
        <v>24758.593650600003</v>
      </c>
      <c r="O19" s="5">
        <f t="shared" si="4"/>
        <v>24526.612871200003</v>
      </c>
      <c r="P19" s="5">
        <f t="shared" si="4"/>
        <v>23924.269354</v>
      </c>
      <c r="Q19" s="5">
        <f t="shared" si="4"/>
        <v>23400.294867800003</v>
      </c>
      <c r="R19" s="347">
        <f t="shared" si="4"/>
        <v>23563.492283799998</v>
      </c>
      <c r="S19" s="347">
        <f t="shared" si="4"/>
        <v>44040.136212600009</v>
      </c>
      <c r="T19" s="5">
        <f>T12*T18%</f>
        <v>1.9543067309481019</v>
      </c>
    </row>
    <row r="20" spans="1:20" ht="13.5" thickBot="1" x14ac:dyDescent="0.25">
      <c r="R20" s="348" t="s">
        <v>298</v>
      </c>
      <c r="S20" s="349">
        <f>SUM(B19:S19)</f>
        <v>317961.47778339998</v>
      </c>
    </row>
    <row r="21" spans="1:20" s="2" customFormat="1" ht="12" x14ac:dyDescent="0.2">
      <c r="A21" s="2" t="s">
        <v>299</v>
      </c>
      <c r="R21" s="286"/>
    </row>
    <row r="22" spans="1:20" s="2" customFormat="1" ht="12" x14ac:dyDescent="0.2">
      <c r="A22" s="2" t="s">
        <v>300</v>
      </c>
      <c r="R22" s="286"/>
      <c r="S22" s="286"/>
    </row>
    <row r="23" spans="1:20" s="2" customFormat="1" ht="12" x14ac:dyDescent="0.2">
      <c r="A23" s="2" t="s">
        <v>11</v>
      </c>
      <c r="R23" s="286"/>
      <c r="S23" s="286"/>
    </row>
    <row r="24" spans="1:20" s="2" customFormat="1" ht="12" x14ac:dyDescent="0.2">
      <c r="A24" s="2" t="s">
        <v>10</v>
      </c>
      <c r="R24" s="286"/>
      <c r="S24" s="286"/>
      <c r="T24" s="286"/>
    </row>
    <row r="25" spans="1:20" s="2" customFormat="1" ht="12" x14ac:dyDescent="0.2">
      <c r="R25" s="286"/>
      <c r="S25" s="286"/>
      <c r="T25" s="286"/>
    </row>
    <row r="26" spans="1:20" s="2" customFormat="1" ht="12" x14ac:dyDescent="0.2">
      <c r="A26" s="3" t="s">
        <v>9</v>
      </c>
      <c r="R26" s="286"/>
      <c r="S26" s="286"/>
    </row>
    <row r="27" spans="1:20" s="2" customFormat="1" ht="12" x14ac:dyDescent="0.2">
      <c r="A27" s="3" t="s">
        <v>8</v>
      </c>
      <c r="R27" s="286"/>
      <c r="S27" s="286"/>
    </row>
    <row r="28" spans="1:20" s="2" customFormat="1" ht="12" x14ac:dyDescent="0.2">
      <c r="A28" s="3" t="s">
        <v>7</v>
      </c>
      <c r="R28" s="286"/>
      <c r="S28" s="286"/>
    </row>
    <row r="29" spans="1:20" s="2" customFormat="1" ht="12" x14ac:dyDescent="0.2">
      <c r="A29" s="4" t="s">
        <v>6</v>
      </c>
      <c r="R29" s="286"/>
      <c r="S29" s="286"/>
    </row>
    <row r="30" spans="1:20" s="2" customFormat="1" ht="12" x14ac:dyDescent="0.2">
      <c r="A30" s="2" t="s">
        <v>5</v>
      </c>
      <c r="S30" s="286"/>
    </row>
    <row r="31" spans="1:20" s="2" customFormat="1" ht="12" x14ac:dyDescent="0.2"/>
    <row r="32" spans="1:20" s="2" customFormat="1" ht="12" x14ac:dyDescent="0.2">
      <c r="A32" s="2" t="s">
        <v>4</v>
      </c>
      <c r="S32" s="286"/>
    </row>
    <row r="33" spans="1:1" s="2" customFormat="1" ht="12" x14ac:dyDescent="0.2">
      <c r="A33" s="3" t="s">
        <v>3</v>
      </c>
    </row>
    <row r="34" spans="1:1" s="2" customFormat="1" ht="12" x14ac:dyDescent="0.2">
      <c r="A34" s="2" t="s">
        <v>2</v>
      </c>
    </row>
    <row r="35" spans="1:1" s="2" customFormat="1" ht="12" x14ac:dyDescent="0.2"/>
    <row r="36" spans="1:1" s="2" customFormat="1" ht="12" x14ac:dyDescent="0.2">
      <c r="A36" s="2" t="s">
        <v>1</v>
      </c>
    </row>
    <row r="37" spans="1:1" s="2" customFormat="1" ht="12" x14ac:dyDescent="0.2">
      <c r="A37" s="2" t="s">
        <v>0</v>
      </c>
    </row>
  </sheetData>
  <mergeCells count="2">
    <mergeCell ref="A2:N2"/>
    <mergeCell ref="A3:N3"/>
  </mergeCells>
  <hyperlinks>
    <hyperlink ref="A29" r:id="rId1" location="art37x" display="http://www.planalto.gov.br/ccivil_03/Constituicao/Constituicao.htm - art37x" xr:uid="{00000000-0004-0000-0100-000000000000}"/>
  </hyperlinks>
  <pageMargins left="0.511811024" right="0.511811024" top="0.78740157499999996" bottom="0.78740157499999996" header="0.31496062000000002" footer="0.3149606200000000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9"/>
  <sheetViews>
    <sheetView workbookViewId="0">
      <selection activeCell="C63" sqref="C63"/>
    </sheetView>
  </sheetViews>
  <sheetFormatPr defaultRowHeight="12.75" x14ac:dyDescent="0.25"/>
  <cols>
    <col min="1" max="1" width="3.85546875" style="204" bestFit="1" customWidth="1"/>
    <col min="2" max="2" width="35.42578125" style="204" bestFit="1" customWidth="1"/>
    <col min="3" max="4" width="12.5703125" style="204" bestFit="1" customWidth="1"/>
    <col min="5" max="6" width="12.140625" style="204" bestFit="1" customWidth="1"/>
    <col min="7" max="8" width="12.5703125" style="204" bestFit="1" customWidth="1"/>
    <col min="9" max="9" width="12.7109375" style="204" bestFit="1" customWidth="1"/>
    <col min="10" max="13" width="12.140625" style="204" bestFit="1" customWidth="1"/>
    <col min="14" max="14" width="12.7109375" style="204" bestFit="1" customWidth="1"/>
    <col min="15" max="15" width="13.28515625" style="204" bestFit="1" customWidth="1"/>
    <col min="16" max="16" width="7.28515625" style="206" bestFit="1" customWidth="1"/>
    <col min="17" max="18" width="4.42578125" style="204" bestFit="1" customWidth="1"/>
    <col min="19" max="19" width="12.140625" style="204" bestFit="1" customWidth="1"/>
    <col min="20" max="20" width="16.28515625" style="204" customWidth="1"/>
    <col min="21" max="16384" width="9.140625" style="204"/>
  </cols>
  <sheetData>
    <row r="1" spans="1:16" ht="16.5" thickBot="1" x14ac:dyDescent="0.3">
      <c r="A1" s="354" t="s">
        <v>272</v>
      </c>
      <c r="B1" s="355"/>
      <c r="C1" s="311">
        <v>43844</v>
      </c>
    </row>
    <row r="2" spans="1:16" x14ac:dyDescent="0.25">
      <c r="A2" s="202"/>
      <c r="B2" s="202"/>
      <c r="C2" s="356">
        <v>2018</v>
      </c>
      <c r="D2" s="356"/>
      <c r="E2" s="356"/>
      <c r="F2" s="356"/>
      <c r="G2" s="356"/>
      <c r="H2" s="356"/>
      <c r="I2" s="356"/>
      <c r="J2" s="356"/>
      <c r="K2" s="356"/>
      <c r="L2" s="203"/>
      <c r="M2" s="203"/>
      <c r="N2" s="203"/>
      <c r="O2" s="203"/>
      <c r="P2" s="203"/>
    </row>
    <row r="3" spans="1:16" s="206" customFormat="1" x14ac:dyDescent="0.25">
      <c r="A3" s="101"/>
      <c r="B3" s="101"/>
      <c r="C3" s="205" t="s">
        <v>88</v>
      </c>
      <c r="D3" s="205" t="s">
        <v>87</v>
      </c>
      <c r="E3" s="205" t="s">
        <v>86</v>
      </c>
      <c r="F3" s="205" t="s">
        <v>85</v>
      </c>
      <c r="G3" s="205" t="s">
        <v>84</v>
      </c>
      <c r="H3" s="205" t="s">
        <v>83</v>
      </c>
      <c r="I3" s="205" t="s">
        <v>82</v>
      </c>
      <c r="J3" s="205" t="s">
        <v>81</v>
      </c>
      <c r="K3" s="205" t="s">
        <v>80</v>
      </c>
      <c r="L3" s="105" t="s">
        <v>79</v>
      </c>
      <c r="M3" s="105" t="s">
        <v>78</v>
      </c>
      <c r="N3" s="105" t="s">
        <v>77</v>
      </c>
      <c r="O3" s="105" t="s">
        <v>76</v>
      </c>
      <c r="P3" s="105" t="s">
        <v>24</v>
      </c>
    </row>
    <row r="4" spans="1:16" x14ac:dyDescent="0.25">
      <c r="A4" s="202" t="s">
        <v>106</v>
      </c>
      <c r="B4" s="202" t="s">
        <v>105</v>
      </c>
      <c r="C4" s="207">
        <v>108972.74</v>
      </c>
      <c r="D4" s="104">
        <v>212542.69</v>
      </c>
      <c r="E4" s="104">
        <v>163010.92000000001</v>
      </c>
      <c r="F4" s="104">
        <v>412157.81</v>
      </c>
      <c r="G4" s="104">
        <v>133906.74</v>
      </c>
      <c r="H4" s="104">
        <v>126728.29</v>
      </c>
      <c r="I4" s="104">
        <v>87893.49</v>
      </c>
      <c r="J4" s="104">
        <v>105436.93</v>
      </c>
      <c r="K4" s="104">
        <v>57896.800000000003</v>
      </c>
      <c r="L4" s="207">
        <v>101448.49</v>
      </c>
      <c r="M4" s="104">
        <v>75705.48</v>
      </c>
      <c r="N4" s="104">
        <v>91915.13</v>
      </c>
      <c r="O4" s="104">
        <f t="shared" ref="O4:O10" si="0">SUM(C4:N4)</f>
        <v>1677615.5099999998</v>
      </c>
      <c r="P4" s="104">
        <f t="shared" ref="P4:P13" si="1">O4/$O$11*100</f>
        <v>6.9765210117396297</v>
      </c>
    </row>
    <row r="5" spans="1:16" x14ac:dyDescent="0.25">
      <c r="A5" s="202" t="s">
        <v>104</v>
      </c>
      <c r="B5" s="202" t="s">
        <v>103</v>
      </c>
      <c r="C5" s="207">
        <v>12890.96</v>
      </c>
      <c r="D5" s="104">
        <v>9554.7800000000007</v>
      </c>
      <c r="E5" s="104">
        <v>14603.29</v>
      </c>
      <c r="F5" s="104">
        <v>11058.23</v>
      </c>
      <c r="G5" s="104">
        <v>13934.53</v>
      </c>
      <c r="H5" s="104">
        <v>13334.69</v>
      </c>
      <c r="I5" s="104">
        <v>12264.9</v>
      </c>
      <c r="J5" s="104">
        <v>13302.06</v>
      </c>
      <c r="K5" s="104">
        <v>11165.63</v>
      </c>
      <c r="L5" s="207">
        <v>16855.490000000002</v>
      </c>
      <c r="M5" s="104">
        <v>13890.47</v>
      </c>
      <c r="N5" s="104">
        <v>14531.38</v>
      </c>
      <c r="O5" s="104">
        <f t="shared" si="0"/>
        <v>157386.41</v>
      </c>
      <c r="P5" s="104">
        <f t="shared" si="1"/>
        <v>0.65450610690125799</v>
      </c>
    </row>
    <row r="6" spans="1:16" x14ac:dyDescent="0.25">
      <c r="A6" s="202" t="s">
        <v>102</v>
      </c>
      <c r="B6" s="202" t="s">
        <v>101</v>
      </c>
      <c r="C6" s="207">
        <v>3319.71</v>
      </c>
      <c r="D6" s="104">
        <v>2444.5700000000002</v>
      </c>
      <c r="E6" s="104">
        <v>4363.74</v>
      </c>
      <c r="F6" s="104">
        <v>2761.92</v>
      </c>
      <c r="G6" s="104">
        <v>4645.99</v>
      </c>
      <c r="H6" s="104">
        <v>2028.05</v>
      </c>
      <c r="I6" s="104">
        <v>11376.45</v>
      </c>
      <c r="J6" s="104">
        <v>23092.38</v>
      </c>
      <c r="K6" s="104">
        <v>3467.81</v>
      </c>
      <c r="L6" s="207">
        <v>3821.47</v>
      </c>
      <c r="M6" s="104">
        <v>3629.91</v>
      </c>
      <c r="N6" s="104">
        <v>3415.86</v>
      </c>
      <c r="O6" s="104">
        <f t="shared" si="0"/>
        <v>68367.86</v>
      </c>
      <c r="P6" s="104">
        <f t="shared" si="1"/>
        <v>0.28431414050152259</v>
      </c>
    </row>
    <row r="7" spans="1:16" x14ac:dyDescent="0.25">
      <c r="A7" s="202" t="s">
        <v>100</v>
      </c>
      <c r="B7" s="202" t="s">
        <v>99</v>
      </c>
      <c r="C7" s="207">
        <v>28828.240000000002</v>
      </c>
      <c r="D7" s="104">
        <v>44362</v>
      </c>
      <c r="E7" s="104">
        <v>25566.5</v>
      </c>
      <c r="F7" s="104">
        <v>41570.26</v>
      </c>
      <c r="G7" s="104">
        <v>50117.72</v>
      </c>
      <c r="H7" s="104">
        <v>17821.36</v>
      </c>
      <c r="I7" s="104">
        <v>20125.759999999998</v>
      </c>
      <c r="J7" s="104">
        <v>18522.84</v>
      </c>
      <c r="K7" s="104">
        <v>20512.82</v>
      </c>
      <c r="L7" s="207">
        <v>26820.9</v>
      </c>
      <c r="M7" s="104">
        <v>21760.87</v>
      </c>
      <c r="N7" s="104">
        <v>22323.08</v>
      </c>
      <c r="O7" s="104">
        <f t="shared" si="0"/>
        <v>338332.35000000003</v>
      </c>
      <c r="P7" s="104">
        <f t="shared" si="1"/>
        <v>1.4069867229149826</v>
      </c>
    </row>
    <row r="8" spans="1:16" x14ac:dyDescent="0.25">
      <c r="A8" s="202" t="s">
        <v>98</v>
      </c>
      <c r="B8" s="202" t="s">
        <v>97</v>
      </c>
      <c r="C8" s="88">
        <v>1614812.4</v>
      </c>
      <c r="D8" s="104">
        <v>1636637.65</v>
      </c>
      <c r="E8" s="104">
        <v>1532356.22</v>
      </c>
      <c r="F8" s="104">
        <v>1708377.83</v>
      </c>
      <c r="G8" s="104">
        <v>1616114.52</v>
      </c>
      <c r="H8" s="104">
        <v>1530451.85</v>
      </c>
      <c r="I8" s="104">
        <v>1785714.45</v>
      </c>
      <c r="J8" s="104">
        <v>1402982.58</v>
      </c>
      <c r="K8" s="104">
        <v>1354452.27</v>
      </c>
      <c r="L8" s="207">
        <v>1503249.38</v>
      </c>
      <c r="M8" s="104">
        <v>1586069.84</v>
      </c>
      <c r="N8" s="104">
        <v>2217239.9</v>
      </c>
      <c r="O8" s="104">
        <f t="shared" si="0"/>
        <v>19488458.889999997</v>
      </c>
      <c r="P8" s="104">
        <f t="shared" si="1"/>
        <v>81.044579119627343</v>
      </c>
    </row>
    <row r="9" spans="1:16" x14ac:dyDescent="0.25">
      <c r="A9" s="202" t="s">
        <v>96</v>
      </c>
      <c r="B9" s="202" t="s">
        <v>95</v>
      </c>
      <c r="C9" s="88">
        <v>15169.32</v>
      </c>
      <c r="D9" s="104">
        <v>18360.669999999998</v>
      </c>
      <c r="E9" s="104">
        <v>19153.14</v>
      </c>
      <c r="F9" s="104">
        <v>17950.21</v>
      </c>
      <c r="G9" s="104">
        <v>23581.75</v>
      </c>
      <c r="H9" s="104">
        <v>274596.64</v>
      </c>
      <c r="I9" s="104">
        <v>18461.62</v>
      </c>
      <c r="J9" s="104">
        <v>151343.42000000001</v>
      </c>
      <c r="K9" s="104">
        <v>16135.89</v>
      </c>
      <c r="L9" s="207">
        <v>22763.66</v>
      </c>
      <c r="M9" s="104">
        <v>31690.75</v>
      </c>
      <c r="N9" s="104">
        <v>22561.56</v>
      </c>
      <c r="O9" s="104">
        <f t="shared" si="0"/>
        <v>631768.63000000012</v>
      </c>
      <c r="P9" s="104">
        <f t="shared" si="1"/>
        <v>2.6272689394442721</v>
      </c>
    </row>
    <row r="10" spans="1:16" x14ac:dyDescent="0.25">
      <c r="A10" s="202" t="s">
        <v>94</v>
      </c>
      <c r="B10" s="202" t="s">
        <v>93</v>
      </c>
      <c r="C10" s="88">
        <v>291861.37</v>
      </c>
      <c r="D10" s="207"/>
      <c r="E10" s="207"/>
      <c r="F10" s="207"/>
      <c r="G10" s="104">
        <v>433032</v>
      </c>
      <c r="H10" s="104">
        <v>100000</v>
      </c>
      <c r="I10" s="104">
        <v>243750</v>
      </c>
      <c r="J10" s="207"/>
      <c r="K10" s="207"/>
      <c r="L10" s="207">
        <v>81600</v>
      </c>
      <c r="M10" s="207">
        <v>443218.36</v>
      </c>
      <c r="N10" s="207">
        <v>91200.14</v>
      </c>
      <c r="O10" s="104">
        <f t="shared" si="0"/>
        <v>1684661.8699999999</v>
      </c>
      <c r="P10" s="104">
        <f t="shared" si="1"/>
        <v>7.0058239588709919</v>
      </c>
    </row>
    <row r="11" spans="1:16" s="206" customFormat="1" x14ac:dyDescent="0.25">
      <c r="A11" s="101"/>
      <c r="B11" s="101"/>
      <c r="C11" s="208">
        <f t="shared" ref="C11:O11" si="2">SUM(C4:C10)</f>
        <v>2075854.7399999998</v>
      </c>
      <c r="D11" s="208">
        <f t="shared" si="2"/>
        <v>1923902.3599999999</v>
      </c>
      <c r="E11" s="208">
        <f t="shared" si="2"/>
        <v>1759053.8099999998</v>
      </c>
      <c r="F11" s="208">
        <f t="shared" si="2"/>
        <v>2193876.2599999998</v>
      </c>
      <c r="G11" s="208">
        <f t="shared" si="2"/>
        <v>2275333.25</v>
      </c>
      <c r="H11" s="208">
        <f t="shared" si="2"/>
        <v>2064960.88</v>
      </c>
      <c r="I11" s="208">
        <f t="shared" si="2"/>
        <v>2179586.67</v>
      </c>
      <c r="J11" s="208">
        <f t="shared" si="2"/>
        <v>1714680.21</v>
      </c>
      <c r="K11" s="208">
        <f t="shared" si="2"/>
        <v>1463631.22</v>
      </c>
      <c r="L11" s="208">
        <f t="shared" si="2"/>
        <v>1756559.39</v>
      </c>
      <c r="M11" s="208">
        <f t="shared" si="2"/>
        <v>2175965.6800000002</v>
      </c>
      <c r="N11" s="208">
        <f t="shared" si="2"/>
        <v>2463187.0500000003</v>
      </c>
      <c r="O11" s="103">
        <f t="shared" si="2"/>
        <v>24046591.519999996</v>
      </c>
      <c r="P11" s="103">
        <f t="shared" si="1"/>
        <v>100</v>
      </c>
    </row>
    <row r="12" spans="1:16" x14ac:dyDescent="0.25">
      <c r="A12" s="202"/>
      <c r="B12" s="202" t="s">
        <v>92</v>
      </c>
      <c r="C12" s="88">
        <v>268172.21999999997</v>
      </c>
      <c r="D12" s="104">
        <v>282769.63</v>
      </c>
      <c r="E12" s="104">
        <v>221169.32</v>
      </c>
      <c r="F12" s="104">
        <v>334654.08000000002</v>
      </c>
      <c r="G12" s="104">
        <v>298247.82</v>
      </c>
      <c r="H12" s="104">
        <v>212086.74</v>
      </c>
      <c r="I12" s="104">
        <v>212107.62</v>
      </c>
      <c r="J12" s="104">
        <v>196351.26</v>
      </c>
      <c r="K12" s="104">
        <v>186548.28</v>
      </c>
      <c r="L12" s="207">
        <v>217280.54</v>
      </c>
      <c r="M12" s="104">
        <v>212891.77</v>
      </c>
      <c r="N12" s="104">
        <v>311958.64</v>
      </c>
      <c r="O12" s="104">
        <f>SUM(C12:N12)</f>
        <v>2954237.9200000004</v>
      </c>
      <c r="P12" s="104">
        <f t="shared" si="1"/>
        <v>12.285474710804255</v>
      </c>
    </row>
    <row r="13" spans="1:16" s="206" customFormat="1" x14ac:dyDescent="0.25">
      <c r="A13" s="101"/>
      <c r="B13" s="101" t="s">
        <v>91</v>
      </c>
      <c r="C13" s="208">
        <f t="shared" ref="C13:O13" si="3">C11-C12</f>
        <v>1807682.5199999998</v>
      </c>
      <c r="D13" s="208">
        <f t="shared" si="3"/>
        <v>1641132.73</v>
      </c>
      <c r="E13" s="208">
        <f t="shared" si="3"/>
        <v>1537884.4899999998</v>
      </c>
      <c r="F13" s="208">
        <f t="shared" si="3"/>
        <v>1859222.1799999997</v>
      </c>
      <c r="G13" s="208">
        <f t="shared" si="3"/>
        <v>1977085.43</v>
      </c>
      <c r="H13" s="208">
        <f t="shared" si="3"/>
        <v>1852874.14</v>
      </c>
      <c r="I13" s="208">
        <f t="shared" si="3"/>
        <v>1967479.0499999998</v>
      </c>
      <c r="J13" s="208">
        <f t="shared" si="3"/>
        <v>1518328.95</v>
      </c>
      <c r="K13" s="208">
        <f t="shared" si="3"/>
        <v>1277082.94</v>
      </c>
      <c r="L13" s="208">
        <f t="shared" si="3"/>
        <v>1539278.8499999999</v>
      </c>
      <c r="M13" s="208">
        <f t="shared" si="3"/>
        <v>1963073.9100000001</v>
      </c>
      <c r="N13" s="208">
        <f t="shared" si="3"/>
        <v>2151228.41</v>
      </c>
      <c r="O13" s="103">
        <f t="shared" si="3"/>
        <v>21092353.599999994</v>
      </c>
      <c r="P13" s="103">
        <f t="shared" si="1"/>
        <v>87.714525289195734</v>
      </c>
    </row>
    <row r="14" spans="1:16" s="206" customFormat="1" x14ac:dyDescent="0.25"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</row>
    <row r="15" spans="1:16" s="206" customFormat="1" x14ac:dyDescent="0.25">
      <c r="B15" s="101" t="s">
        <v>90</v>
      </c>
      <c r="C15" s="208"/>
      <c r="D15" s="208"/>
      <c r="E15" s="208"/>
      <c r="F15" s="208"/>
      <c r="G15" s="208"/>
      <c r="H15" s="208"/>
      <c r="I15" s="208"/>
      <c r="J15" s="208"/>
      <c r="K15" s="210">
        <v>2354827.67</v>
      </c>
      <c r="L15" s="210">
        <v>467727.14</v>
      </c>
      <c r="M15" s="210">
        <v>321246.75</v>
      </c>
      <c r="N15" s="210">
        <v>390654.97</v>
      </c>
      <c r="O15" s="210">
        <f>SUM(K15:N15)</f>
        <v>3534456.5300000003</v>
      </c>
      <c r="P15" s="210"/>
    </row>
    <row r="16" spans="1:16" x14ac:dyDescent="0.25">
      <c r="B16" s="101" t="s">
        <v>273</v>
      </c>
      <c r="C16" s="208">
        <f t="shared" ref="C16:O16" si="4">SUM(C13:C15)</f>
        <v>1807682.5199999998</v>
      </c>
      <c r="D16" s="208">
        <f t="shared" si="4"/>
        <v>1641132.73</v>
      </c>
      <c r="E16" s="208">
        <f t="shared" si="4"/>
        <v>1537884.4899999998</v>
      </c>
      <c r="F16" s="208">
        <f t="shared" si="4"/>
        <v>1859222.1799999997</v>
      </c>
      <c r="G16" s="208">
        <f t="shared" si="4"/>
        <v>1977085.43</v>
      </c>
      <c r="H16" s="208">
        <f t="shared" si="4"/>
        <v>1852874.14</v>
      </c>
      <c r="I16" s="208">
        <f t="shared" si="4"/>
        <v>1967479.0499999998</v>
      </c>
      <c r="J16" s="208">
        <f t="shared" si="4"/>
        <v>1518328.95</v>
      </c>
      <c r="K16" s="208">
        <f t="shared" si="4"/>
        <v>3631910.61</v>
      </c>
      <c r="L16" s="208">
        <f t="shared" si="4"/>
        <v>2007005.9899999998</v>
      </c>
      <c r="M16" s="208">
        <f t="shared" si="4"/>
        <v>2284320.66</v>
      </c>
      <c r="N16" s="208">
        <f t="shared" si="4"/>
        <v>2541883.38</v>
      </c>
      <c r="O16" s="208">
        <f t="shared" si="4"/>
        <v>24626810.129999995</v>
      </c>
      <c r="P16" s="208"/>
    </row>
    <row r="18" spans="1:18" x14ac:dyDescent="0.25">
      <c r="A18" s="202"/>
      <c r="B18" s="202"/>
      <c r="C18" s="356">
        <v>2019</v>
      </c>
      <c r="D18" s="356"/>
      <c r="E18" s="356"/>
      <c r="F18" s="356"/>
      <c r="G18" s="356"/>
      <c r="H18" s="356"/>
      <c r="I18" s="356"/>
      <c r="J18" s="356"/>
      <c r="K18" s="356"/>
      <c r="L18" s="202"/>
      <c r="M18" s="202"/>
      <c r="N18" s="202"/>
      <c r="O18" s="202"/>
    </row>
    <row r="19" spans="1:18" s="206" customFormat="1" x14ac:dyDescent="0.25">
      <c r="A19" s="101"/>
      <c r="B19" s="101"/>
      <c r="C19" s="205" t="s">
        <v>88</v>
      </c>
      <c r="D19" s="205" t="s">
        <v>87</v>
      </c>
      <c r="E19" s="205" t="s">
        <v>86</v>
      </c>
      <c r="F19" s="205" t="s">
        <v>85</v>
      </c>
      <c r="G19" s="205" t="s">
        <v>84</v>
      </c>
      <c r="H19" s="205" t="s">
        <v>83</v>
      </c>
      <c r="I19" s="205" t="s">
        <v>82</v>
      </c>
      <c r="J19" s="205" t="s">
        <v>81</v>
      </c>
      <c r="K19" s="205" t="s">
        <v>80</v>
      </c>
      <c r="L19" s="205" t="s">
        <v>79</v>
      </c>
      <c r="M19" s="205" t="s">
        <v>89</v>
      </c>
      <c r="N19" s="205" t="s">
        <v>77</v>
      </c>
      <c r="O19" s="211" t="s">
        <v>76</v>
      </c>
      <c r="P19" s="101" t="s">
        <v>24</v>
      </c>
    </row>
    <row r="20" spans="1:18" x14ac:dyDescent="0.2">
      <c r="A20" s="202" t="s">
        <v>106</v>
      </c>
      <c r="B20" s="202" t="s">
        <v>105</v>
      </c>
      <c r="C20" s="96">
        <v>162390.5</v>
      </c>
      <c r="D20" s="96">
        <v>540536.28</v>
      </c>
      <c r="E20" s="218">
        <v>68916.759999999995</v>
      </c>
      <c r="F20" s="96">
        <v>124004.48</v>
      </c>
      <c r="G20" s="218">
        <v>107943.98</v>
      </c>
      <c r="H20" s="218">
        <v>86807.26</v>
      </c>
      <c r="I20" s="218">
        <v>150770.46</v>
      </c>
      <c r="J20" s="218">
        <v>139636.65</v>
      </c>
      <c r="K20" s="218">
        <v>127185.51</v>
      </c>
      <c r="L20" s="88">
        <v>83750.42</v>
      </c>
      <c r="M20" s="88">
        <v>62489.61</v>
      </c>
      <c r="N20" s="218">
        <v>179133.19</v>
      </c>
      <c r="O20" s="212">
        <f>SUM(C20:N20)</f>
        <v>1833565.0999999999</v>
      </c>
      <c r="P20" s="208">
        <f t="shared" ref="P20:P28" si="5">O20/$O$27*100</f>
        <v>6.9386897915842347</v>
      </c>
    </row>
    <row r="21" spans="1:18" x14ac:dyDescent="0.2">
      <c r="A21" s="202" t="s">
        <v>104</v>
      </c>
      <c r="B21" s="202" t="s">
        <v>103</v>
      </c>
      <c r="C21" s="218">
        <v>16574.63</v>
      </c>
      <c r="D21" s="309">
        <v>12645.32</v>
      </c>
      <c r="E21" s="218">
        <v>15444.86</v>
      </c>
      <c r="F21" s="310">
        <v>11642.12</v>
      </c>
      <c r="G21" s="218">
        <v>13854.69</v>
      </c>
      <c r="H21" s="218">
        <v>25619.22</v>
      </c>
      <c r="I21" s="218">
        <v>106739</v>
      </c>
      <c r="J21" s="218">
        <v>18967.57</v>
      </c>
      <c r="K21" s="218">
        <v>14224.89</v>
      </c>
      <c r="L21" s="88">
        <v>12173.12</v>
      </c>
      <c r="M21" s="88">
        <v>18805.57</v>
      </c>
      <c r="N21" s="218">
        <v>19175.2</v>
      </c>
      <c r="O21" s="212">
        <f t="shared" ref="O21:O25" si="6">SUM(C21:N21)</f>
        <v>285866.19</v>
      </c>
      <c r="P21" s="208">
        <f t="shared" si="5"/>
        <v>1.0817924132129693</v>
      </c>
    </row>
    <row r="22" spans="1:18" x14ac:dyDescent="0.2">
      <c r="A22" s="202" t="s">
        <v>102</v>
      </c>
      <c r="B22" s="202" t="s">
        <v>101</v>
      </c>
      <c r="C22" s="96">
        <v>3380.09</v>
      </c>
      <c r="D22" s="96">
        <v>2818.85</v>
      </c>
      <c r="E22" s="218">
        <v>2178.91</v>
      </c>
      <c r="F22" s="310">
        <v>3689.48</v>
      </c>
      <c r="G22" s="218">
        <v>3269.59</v>
      </c>
      <c r="H22" s="218">
        <v>2598.0100000000002</v>
      </c>
      <c r="I22" s="218">
        <v>178853.44</v>
      </c>
      <c r="J22" s="218">
        <v>1964.8</v>
      </c>
      <c r="K22" s="308">
        <v>402.54</v>
      </c>
      <c r="L22" s="88">
        <v>2045.21</v>
      </c>
      <c r="M22" s="88">
        <v>2847.73</v>
      </c>
      <c r="N22" s="218">
        <v>2934.63</v>
      </c>
      <c r="O22" s="212">
        <f t="shared" si="6"/>
        <v>206983.28</v>
      </c>
      <c r="P22" s="208">
        <f t="shared" si="5"/>
        <v>0.78327885492836957</v>
      </c>
    </row>
    <row r="23" spans="1:18" x14ac:dyDescent="0.2">
      <c r="A23" s="202" t="s">
        <v>100</v>
      </c>
      <c r="B23" s="202" t="s">
        <v>99</v>
      </c>
      <c r="C23" s="96">
        <v>34345.74</v>
      </c>
      <c r="D23" s="309">
        <v>59301.27</v>
      </c>
      <c r="E23" s="218">
        <v>24779.15</v>
      </c>
      <c r="F23" s="310">
        <v>34062.550000000003</v>
      </c>
      <c r="G23" s="218">
        <v>22214.080000000002</v>
      </c>
      <c r="H23" s="218">
        <v>27160.959999999999</v>
      </c>
      <c r="I23" s="218">
        <v>38650.78</v>
      </c>
      <c r="J23" s="218">
        <v>53508.17</v>
      </c>
      <c r="K23" s="218">
        <v>30570.89</v>
      </c>
      <c r="L23" s="88">
        <v>3718.46</v>
      </c>
      <c r="M23" s="88">
        <v>2279.98</v>
      </c>
      <c r="N23" s="218">
        <v>35713.449999999997</v>
      </c>
      <c r="O23" s="212">
        <f t="shared" si="6"/>
        <v>366305.48000000004</v>
      </c>
      <c r="P23" s="208">
        <f t="shared" si="5"/>
        <v>1.3861957203904915</v>
      </c>
    </row>
    <row r="24" spans="1:18" x14ac:dyDescent="0.2">
      <c r="A24" s="202" t="s">
        <v>98</v>
      </c>
      <c r="B24" s="202" t="s">
        <v>97</v>
      </c>
      <c r="C24" s="96">
        <v>1614351.05</v>
      </c>
      <c r="D24" s="309">
        <v>1667376.76</v>
      </c>
      <c r="E24" s="218">
        <v>1636438.01</v>
      </c>
      <c r="F24" s="310">
        <v>1858799.67</v>
      </c>
      <c r="G24" s="218">
        <v>1768809.53</v>
      </c>
      <c r="H24" s="218">
        <v>1546165.01</v>
      </c>
      <c r="I24" s="218">
        <v>2253224.0099999998</v>
      </c>
      <c r="J24" s="218">
        <v>1676830.47</v>
      </c>
      <c r="K24" s="218">
        <v>1462909.47</v>
      </c>
      <c r="L24" s="88">
        <v>1567822.58</v>
      </c>
      <c r="M24" s="88">
        <v>1633469.03</v>
      </c>
      <c r="N24" s="96">
        <v>3114160.8</v>
      </c>
      <c r="O24" s="212">
        <f t="shared" si="6"/>
        <v>21800356.390000004</v>
      </c>
      <c r="P24" s="208">
        <f t="shared" si="5"/>
        <v>82.498249086542486</v>
      </c>
    </row>
    <row r="25" spans="1:18" x14ac:dyDescent="0.2">
      <c r="A25" s="202" t="s">
        <v>96</v>
      </c>
      <c r="B25" s="202" t="s">
        <v>95</v>
      </c>
      <c r="C25" s="96">
        <v>18348.46</v>
      </c>
      <c r="D25" s="309">
        <v>17411.349999999999</v>
      </c>
      <c r="E25" s="218">
        <v>8637.34</v>
      </c>
      <c r="F25" s="310">
        <v>3371.88</v>
      </c>
      <c r="G25" s="218">
        <v>16488.259999999998</v>
      </c>
      <c r="H25" s="218">
        <v>20564.189999999999</v>
      </c>
      <c r="I25" s="218">
        <v>46116.57</v>
      </c>
      <c r="J25" s="218">
        <v>19828.27</v>
      </c>
      <c r="K25" s="218">
        <v>14733.92</v>
      </c>
      <c r="L25" s="88">
        <v>49171.54</v>
      </c>
      <c r="M25" s="88">
        <v>43.75</v>
      </c>
      <c r="N25" s="218">
        <v>21562.53</v>
      </c>
      <c r="O25" s="212">
        <f t="shared" si="6"/>
        <v>236278.06</v>
      </c>
      <c r="P25" s="208">
        <f t="shared" si="5"/>
        <v>0.89413796264846412</v>
      </c>
    </row>
    <row r="26" spans="1:18" x14ac:dyDescent="0.2">
      <c r="A26" s="202" t="s">
        <v>94</v>
      </c>
      <c r="B26" s="202" t="s">
        <v>93</v>
      </c>
      <c r="C26" s="207"/>
      <c r="D26" s="207"/>
      <c r="E26" s="207"/>
      <c r="F26" s="218"/>
      <c r="G26" s="218">
        <v>931406.07</v>
      </c>
      <c r="H26" s="207"/>
      <c r="I26" s="218">
        <v>51340</v>
      </c>
      <c r="J26" s="207"/>
      <c r="K26" s="207"/>
      <c r="L26" s="202"/>
      <c r="M26" s="88">
        <v>713134.67</v>
      </c>
      <c r="N26" s="207">
        <v>0</v>
      </c>
      <c r="O26" s="212">
        <f>SUM(C26:N26)</f>
        <v>1695880.74</v>
      </c>
      <c r="P26" s="208">
        <f t="shared" si="5"/>
        <v>6.4176561706929949</v>
      </c>
    </row>
    <row r="27" spans="1:18" x14ac:dyDescent="0.25">
      <c r="A27" s="202"/>
      <c r="B27" s="202"/>
      <c r="C27" s="208">
        <f>SUM(C20:C26)</f>
        <v>1849390.47</v>
      </c>
      <c r="D27" s="208">
        <f t="shared" ref="D27:M27" si="7">SUM(D20:D26)</f>
        <v>2300089.83</v>
      </c>
      <c r="E27" s="208">
        <f t="shared" si="7"/>
        <v>1756395.03</v>
      </c>
      <c r="F27" s="208">
        <f t="shared" si="7"/>
        <v>2035570.1799999997</v>
      </c>
      <c r="G27" s="208">
        <f t="shared" si="7"/>
        <v>2863986.2</v>
      </c>
      <c r="H27" s="208">
        <f t="shared" si="7"/>
        <v>1708914.65</v>
      </c>
      <c r="I27" s="208">
        <f t="shared" si="7"/>
        <v>2825694.26</v>
      </c>
      <c r="J27" s="208">
        <f t="shared" si="7"/>
        <v>1910735.93</v>
      </c>
      <c r="K27" s="208">
        <f t="shared" si="7"/>
        <v>1650027.22</v>
      </c>
      <c r="L27" s="208">
        <f t="shared" si="7"/>
        <v>1718681.33</v>
      </c>
      <c r="M27" s="208">
        <f t="shared" si="7"/>
        <v>2433070.34</v>
      </c>
      <c r="N27" s="208">
        <f>SUM(N20:N26)</f>
        <v>3372679.8</v>
      </c>
      <c r="O27" s="213">
        <f>SUM(C27:N27)</f>
        <v>26425235.240000002</v>
      </c>
      <c r="P27" s="208">
        <f t="shared" si="5"/>
        <v>100</v>
      </c>
    </row>
    <row r="28" spans="1:18" x14ac:dyDescent="0.2">
      <c r="A28" s="202"/>
      <c r="B28" s="202" t="s">
        <v>92</v>
      </c>
      <c r="C28" s="218">
        <v>179578.3</v>
      </c>
      <c r="D28" s="218">
        <v>334992.7</v>
      </c>
      <c r="E28" s="96">
        <v>235860.56</v>
      </c>
      <c r="F28" s="96">
        <v>277070.65000000002</v>
      </c>
      <c r="G28" s="96">
        <v>255274.52</v>
      </c>
      <c r="H28" s="96">
        <v>225390.56</v>
      </c>
      <c r="I28" s="96">
        <v>218617.31</v>
      </c>
      <c r="J28" s="96">
        <v>366307.15</v>
      </c>
      <c r="K28" s="96">
        <v>208693.24</v>
      </c>
      <c r="L28" s="88">
        <v>217448.93</v>
      </c>
      <c r="M28" s="88">
        <v>240877.77</v>
      </c>
      <c r="N28" s="96">
        <v>330473.69</v>
      </c>
      <c r="O28" s="212"/>
      <c r="P28" s="208">
        <f t="shared" si="5"/>
        <v>0</v>
      </c>
    </row>
    <row r="29" spans="1:18" x14ac:dyDescent="0.25">
      <c r="A29" s="202"/>
      <c r="B29" s="101" t="s">
        <v>91</v>
      </c>
      <c r="C29" s="208">
        <f>C27-C28</f>
        <v>1669812.17</v>
      </c>
      <c r="D29" s="208">
        <f>D27-D28</f>
        <v>1965097.1300000001</v>
      </c>
      <c r="E29" s="208">
        <f>E27-E28</f>
        <v>1520534.47</v>
      </c>
      <c r="F29" s="208">
        <f>F27-F28</f>
        <v>1758499.5299999998</v>
      </c>
      <c r="G29" s="208">
        <f>G27-G28</f>
        <v>2608711.6800000002</v>
      </c>
      <c r="H29" s="208">
        <f t="shared" ref="H29:N29" si="8">H27-H28</f>
        <v>1483524.0899999999</v>
      </c>
      <c r="I29" s="208">
        <f t="shared" si="8"/>
        <v>2607076.9499999997</v>
      </c>
      <c r="J29" s="208">
        <f t="shared" si="8"/>
        <v>1544428.7799999998</v>
      </c>
      <c r="K29" s="208">
        <f t="shared" si="8"/>
        <v>1441333.98</v>
      </c>
      <c r="L29" s="208">
        <f t="shared" si="8"/>
        <v>1501232.4000000001</v>
      </c>
      <c r="M29" s="208">
        <f t="shared" si="8"/>
        <v>2192192.5699999998</v>
      </c>
      <c r="N29" s="208">
        <f t="shared" si="8"/>
        <v>3042206.11</v>
      </c>
      <c r="O29" s="213">
        <f>SUM(C29:N29)</f>
        <v>23334649.859999996</v>
      </c>
      <c r="P29" s="208">
        <f>P27-P28</f>
        <v>100</v>
      </c>
      <c r="Q29" s="209">
        <f>Q27-Q28</f>
        <v>0</v>
      </c>
      <c r="R29" s="209">
        <f>R27-R28</f>
        <v>0</v>
      </c>
    </row>
    <row r="30" spans="1:18" x14ac:dyDescent="0.25">
      <c r="O30" s="209"/>
      <c r="P30" s="101"/>
    </row>
    <row r="31" spans="1:18" x14ac:dyDescent="0.2">
      <c r="B31" s="208" t="s">
        <v>90</v>
      </c>
      <c r="C31" s="304">
        <v>484829.16</v>
      </c>
      <c r="D31" s="304">
        <v>248192.19</v>
      </c>
      <c r="E31" s="304">
        <v>318183.89</v>
      </c>
      <c r="F31" s="304">
        <v>342306.48</v>
      </c>
      <c r="G31" s="304">
        <v>369729.24</v>
      </c>
      <c r="H31" s="304">
        <v>576288.39</v>
      </c>
      <c r="I31" s="304">
        <v>434525.78</v>
      </c>
      <c r="J31" s="304">
        <v>249642.11</v>
      </c>
      <c r="K31" s="304">
        <v>485098.08</v>
      </c>
      <c r="L31" s="316">
        <v>139729.64000000001</v>
      </c>
      <c r="M31" s="208">
        <v>0</v>
      </c>
      <c r="N31" s="304">
        <v>592091.94999999995</v>
      </c>
      <c r="O31" s="213">
        <f>SUM(C31:N31)</f>
        <v>4240616.91</v>
      </c>
      <c r="P31" s="208">
        <f>O31/$O$27*100</f>
        <v>16.047603253048656</v>
      </c>
    </row>
    <row r="32" spans="1:18" x14ac:dyDescent="0.25">
      <c r="B32" s="208" t="s">
        <v>273</v>
      </c>
      <c r="C32" s="208">
        <f>SUM(C29:C31)</f>
        <v>2154641.33</v>
      </c>
      <c r="D32" s="208">
        <f t="shared" ref="D32:N32" si="9">SUM(D29:D31)</f>
        <v>2213289.3200000003</v>
      </c>
      <c r="E32" s="208">
        <f t="shared" si="9"/>
        <v>1838718.3599999999</v>
      </c>
      <c r="F32" s="208">
        <f t="shared" si="9"/>
        <v>2100806.0099999998</v>
      </c>
      <c r="G32" s="208">
        <f t="shared" si="9"/>
        <v>2978440.92</v>
      </c>
      <c r="H32" s="208">
        <f t="shared" si="9"/>
        <v>2059812.48</v>
      </c>
      <c r="I32" s="208">
        <f t="shared" si="9"/>
        <v>3041602.7299999995</v>
      </c>
      <c r="J32" s="208">
        <f>SUM(J29:J31)</f>
        <v>1794070.8899999997</v>
      </c>
      <c r="K32" s="208">
        <f t="shared" si="9"/>
        <v>1926432.06</v>
      </c>
      <c r="L32" s="208">
        <f>SUM(L29:L31)</f>
        <v>1640962.04</v>
      </c>
      <c r="M32" s="208">
        <f t="shared" si="9"/>
        <v>2192192.5699999998</v>
      </c>
      <c r="N32" s="208">
        <f t="shared" si="9"/>
        <v>3634298.0599999996</v>
      </c>
      <c r="O32" s="213">
        <f>SUM(O29:O31)</f>
        <v>27575266.769999996</v>
      </c>
      <c r="P32" s="208">
        <f>O32/$O$27*100</f>
        <v>104.35202002765594</v>
      </c>
    </row>
    <row r="33" spans="1:19" x14ac:dyDescent="0.25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9" x14ac:dyDescent="0.25">
      <c r="B34" s="214" t="s">
        <v>276</v>
      </c>
      <c r="C34" s="214">
        <f>C13-C29</f>
        <v>137870.34999999986</v>
      </c>
      <c r="D34" s="214">
        <f t="shared" ref="D34:N34" si="10">D13-D29</f>
        <v>-323964.40000000014</v>
      </c>
      <c r="E34" s="214">
        <f t="shared" si="10"/>
        <v>17350.019999999786</v>
      </c>
      <c r="F34" s="214">
        <f t="shared" si="10"/>
        <v>100722.64999999991</v>
      </c>
      <c r="G34" s="214">
        <f t="shared" si="10"/>
        <v>-631626.25000000023</v>
      </c>
      <c r="H34" s="214">
        <f t="shared" si="10"/>
        <v>369350.05000000005</v>
      </c>
      <c r="I34" s="214">
        <f t="shared" si="10"/>
        <v>-639597.89999999991</v>
      </c>
      <c r="J34" s="214">
        <f t="shared" si="10"/>
        <v>-26099.829999999842</v>
      </c>
      <c r="K34" s="214">
        <f t="shared" si="10"/>
        <v>-164251.04000000004</v>
      </c>
      <c r="L34" s="214">
        <f>L13-L29</f>
        <v>38046.449999999721</v>
      </c>
      <c r="M34" s="214">
        <f t="shared" si="10"/>
        <v>-229118.65999999968</v>
      </c>
      <c r="N34" s="214">
        <f t="shared" si="10"/>
        <v>-890977.69999999972</v>
      </c>
      <c r="O34" s="213">
        <f>SUM(C34:N34)</f>
        <v>-2242296.2600000002</v>
      </c>
      <c r="P34" s="214">
        <f>O34/O29*100</f>
        <v>-9.6092989329302956</v>
      </c>
    </row>
    <row r="35" spans="1:19" x14ac:dyDescent="0.25">
      <c r="B35" s="214" t="s">
        <v>277</v>
      </c>
      <c r="C35" s="214">
        <f>C16-C32</f>
        <v>-346958.81000000029</v>
      </c>
      <c r="D35" s="214">
        <f t="shared" ref="D35:N35" si="11">D16-D32</f>
        <v>-572156.59000000032</v>
      </c>
      <c r="E35" s="214">
        <f t="shared" si="11"/>
        <v>-300833.87000000011</v>
      </c>
      <c r="F35" s="214">
        <f t="shared" si="11"/>
        <v>-241583.83000000007</v>
      </c>
      <c r="G35" s="214">
        <f t="shared" si="11"/>
        <v>-1001355.49</v>
      </c>
      <c r="H35" s="214">
        <f t="shared" si="11"/>
        <v>-206938.34000000008</v>
      </c>
      <c r="I35" s="214">
        <f t="shared" si="11"/>
        <v>-1074123.6799999997</v>
      </c>
      <c r="J35" s="214">
        <f t="shared" si="11"/>
        <v>-275741.93999999971</v>
      </c>
      <c r="K35" s="214">
        <f t="shared" si="11"/>
        <v>1705478.5499999998</v>
      </c>
      <c r="L35" s="214">
        <f>L16-L32</f>
        <v>366043.94999999972</v>
      </c>
      <c r="M35" s="214">
        <f t="shared" si="11"/>
        <v>92128.090000000317</v>
      </c>
      <c r="N35" s="214">
        <f t="shared" si="11"/>
        <v>-1092414.6799999997</v>
      </c>
      <c r="O35" s="213">
        <f>SUM(C35:N35)</f>
        <v>-2948456.6399999997</v>
      </c>
      <c r="P35" s="214"/>
    </row>
    <row r="38" spans="1:19" x14ac:dyDescent="0.25">
      <c r="B38" s="356">
        <v>2018</v>
      </c>
      <c r="C38" s="356"/>
      <c r="D38" s="356"/>
      <c r="E38" s="356"/>
      <c r="F38" s="356"/>
      <c r="G38" s="356"/>
      <c r="H38" s="356"/>
      <c r="I38" s="356"/>
      <c r="J38" s="356"/>
      <c r="K38" s="356"/>
      <c r="L38" s="102"/>
      <c r="M38" s="102"/>
      <c r="N38" s="102"/>
      <c r="O38" s="202"/>
      <c r="P38" s="204"/>
      <c r="S38" s="206"/>
    </row>
    <row r="39" spans="1:19" x14ac:dyDescent="0.25">
      <c r="B39" s="102"/>
      <c r="C39" s="102" t="s">
        <v>88</v>
      </c>
      <c r="D39" s="102" t="s">
        <v>87</v>
      </c>
      <c r="E39" s="102" t="s">
        <v>86</v>
      </c>
      <c r="F39" s="102" t="s">
        <v>85</v>
      </c>
      <c r="G39" s="102" t="s">
        <v>84</v>
      </c>
      <c r="H39" s="102" t="s">
        <v>83</v>
      </c>
      <c r="I39" s="102" t="s">
        <v>82</v>
      </c>
      <c r="J39" s="102" t="s">
        <v>81</v>
      </c>
      <c r="K39" s="102" t="s">
        <v>80</v>
      </c>
      <c r="L39" s="102" t="s">
        <v>79</v>
      </c>
      <c r="M39" s="102" t="s">
        <v>78</v>
      </c>
      <c r="N39" s="102" t="s">
        <v>77</v>
      </c>
      <c r="O39" s="101" t="s">
        <v>76</v>
      </c>
      <c r="P39" s="204"/>
      <c r="S39" s="206"/>
    </row>
    <row r="40" spans="1:19" x14ac:dyDescent="0.25">
      <c r="A40" s="204" t="s">
        <v>260</v>
      </c>
      <c r="B40" s="202" t="s">
        <v>75</v>
      </c>
      <c r="C40" s="88">
        <v>915610.59</v>
      </c>
      <c r="D40" s="88">
        <v>858399.27</v>
      </c>
      <c r="E40" s="88">
        <v>884719.27</v>
      </c>
      <c r="F40" s="88">
        <v>897975.85</v>
      </c>
      <c r="G40" s="88">
        <v>876480.39</v>
      </c>
      <c r="H40" s="88">
        <v>881740.94</v>
      </c>
      <c r="I40" s="88">
        <v>889709.58</v>
      </c>
      <c r="J40" s="88">
        <v>896706.36</v>
      </c>
      <c r="K40" s="88">
        <v>859527.61</v>
      </c>
      <c r="L40" s="88">
        <v>899893.44</v>
      </c>
      <c r="M40" s="88">
        <v>883883.6</v>
      </c>
      <c r="N40" s="88">
        <v>1438645.7</v>
      </c>
      <c r="O40" s="207">
        <f>SUM(C40:N40)</f>
        <v>11183292.6</v>
      </c>
      <c r="P40" s="204"/>
      <c r="S40" s="206"/>
    </row>
    <row r="41" spans="1:19" x14ac:dyDescent="0.25">
      <c r="B41" s="202" t="s">
        <v>74</v>
      </c>
      <c r="C41" s="88">
        <v>331728.48</v>
      </c>
      <c r="D41" s="88">
        <v>453202.8</v>
      </c>
      <c r="E41" s="88">
        <v>498543.81</v>
      </c>
      <c r="F41" s="88">
        <v>571546.99</v>
      </c>
      <c r="G41" s="88">
        <v>704165.31</v>
      </c>
      <c r="H41" s="88">
        <v>603705.85</v>
      </c>
      <c r="I41" s="88">
        <v>619701.68999999994</v>
      </c>
      <c r="J41" s="88">
        <v>798140.82</v>
      </c>
      <c r="K41" s="88">
        <v>537986.06999999995</v>
      </c>
      <c r="L41" s="88">
        <v>563751.81999999995</v>
      </c>
      <c r="M41" s="88">
        <v>845082.7</v>
      </c>
      <c r="N41" s="88">
        <v>756502.15</v>
      </c>
      <c r="O41" s="207">
        <f>SUM(C41:N41)</f>
        <v>7284058.4900000012</v>
      </c>
      <c r="P41" s="204"/>
      <c r="S41" s="206"/>
    </row>
    <row r="42" spans="1:19" x14ac:dyDescent="0.25">
      <c r="B42" s="202" t="s">
        <v>73</v>
      </c>
      <c r="C42" s="88">
        <v>17930.25</v>
      </c>
      <c r="D42" s="88">
        <v>19428.009999999998</v>
      </c>
      <c r="E42" s="88">
        <v>19413.009999999998</v>
      </c>
      <c r="F42" s="88">
        <v>35381.22</v>
      </c>
      <c r="G42" s="88">
        <v>28826.17</v>
      </c>
      <c r="H42" s="88">
        <v>342546.77</v>
      </c>
      <c r="I42" s="88">
        <v>108680.62</v>
      </c>
      <c r="J42" s="88">
        <v>27223.09</v>
      </c>
      <c r="K42" s="88">
        <v>62225.26</v>
      </c>
      <c r="L42" s="88">
        <v>30112.87</v>
      </c>
      <c r="M42" s="88">
        <v>52647.88</v>
      </c>
      <c r="N42" s="88">
        <v>399778.84</v>
      </c>
      <c r="O42" s="207">
        <f>SUM(C42:N42)</f>
        <v>1144193.99</v>
      </c>
      <c r="P42" s="204"/>
      <c r="S42" s="206"/>
    </row>
    <row r="43" spans="1:19" x14ac:dyDescent="0.25">
      <c r="B43" s="101" t="s">
        <v>29</v>
      </c>
      <c r="C43" s="208">
        <f t="shared" ref="C43:N43" si="12">SUM(C40:C42)</f>
        <v>1265269.3199999998</v>
      </c>
      <c r="D43" s="208">
        <f t="shared" si="12"/>
        <v>1331030.08</v>
      </c>
      <c r="E43" s="208">
        <f t="shared" si="12"/>
        <v>1402676.09</v>
      </c>
      <c r="F43" s="208">
        <f t="shared" si="12"/>
        <v>1504904.0599999998</v>
      </c>
      <c r="G43" s="208">
        <f t="shared" si="12"/>
        <v>1609471.87</v>
      </c>
      <c r="H43" s="208">
        <f t="shared" si="12"/>
        <v>1827993.56</v>
      </c>
      <c r="I43" s="208">
        <f t="shared" si="12"/>
        <v>1618091.8900000001</v>
      </c>
      <c r="J43" s="208">
        <f t="shared" si="12"/>
        <v>1722070.27</v>
      </c>
      <c r="K43" s="208">
        <f t="shared" si="12"/>
        <v>1459738.94</v>
      </c>
      <c r="L43" s="208">
        <f t="shared" si="12"/>
        <v>1493758.13</v>
      </c>
      <c r="M43" s="208">
        <f t="shared" si="12"/>
        <v>1781614.1799999997</v>
      </c>
      <c r="N43" s="208">
        <f t="shared" si="12"/>
        <v>2594926.69</v>
      </c>
      <c r="O43" s="208">
        <f>SUM(C43:N43)</f>
        <v>19611545.080000002</v>
      </c>
      <c r="P43" s="204"/>
      <c r="S43" s="206"/>
    </row>
    <row r="46" spans="1:19" x14ac:dyDescent="0.25">
      <c r="B46" s="356">
        <v>2019</v>
      </c>
      <c r="C46" s="356"/>
      <c r="D46" s="356"/>
      <c r="E46" s="356"/>
      <c r="F46" s="356"/>
      <c r="G46" s="356"/>
      <c r="H46" s="356"/>
      <c r="I46" s="356"/>
      <c r="J46" s="356"/>
      <c r="K46" s="356"/>
      <c r="L46" s="102"/>
      <c r="M46" s="102"/>
      <c r="N46" s="102"/>
      <c r="O46" s="202"/>
      <c r="P46" s="204"/>
      <c r="S46" s="206"/>
    </row>
    <row r="47" spans="1:19" x14ac:dyDescent="0.25">
      <c r="B47" s="102"/>
      <c r="C47" s="102" t="s">
        <v>88</v>
      </c>
      <c r="D47" s="102" t="s">
        <v>87</v>
      </c>
      <c r="E47" s="102" t="s">
        <v>86</v>
      </c>
      <c r="F47" s="102" t="s">
        <v>85</v>
      </c>
      <c r="G47" s="102" t="s">
        <v>84</v>
      </c>
      <c r="H47" s="102" t="s">
        <v>83</v>
      </c>
      <c r="I47" s="102" t="s">
        <v>82</v>
      </c>
      <c r="J47" s="102" t="s">
        <v>81</v>
      </c>
      <c r="K47" s="102" t="s">
        <v>80</v>
      </c>
      <c r="L47" s="102" t="s">
        <v>79</v>
      </c>
      <c r="M47" s="102" t="s">
        <v>78</v>
      </c>
      <c r="N47" s="102" t="s">
        <v>77</v>
      </c>
      <c r="O47" s="202" t="s">
        <v>76</v>
      </c>
      <c r="P47" s="204"/>
      <c r="S47" s="206"/>
    </row>
    <row r="48" spans="1:19" x14ac:dyDescent="0.2">
      <c r="A48" s="204" t="s">
        <v>260</v>
      </c>
      <c r="B48" s="202" t="s">
        <v>75</v>
      </c>
      <c r="C48" s="39">
        <v>1092130.6199999999</v>
      </c>
      <c r="D48" s="39">
        <v>1000887.01</v>
      </c>
      <c r="E48" s="39">
        <v>709274.72</v>
      </c>
      <c r="F48" s="39">
        <v>175311.89</v>
      </c>
      <c r="G48" s="39">
        <v>1717222.5699999998</v>
      </c>
      <c r="H48" s="39">
        <v>1123754.77</v>
      </c>
      <c r="I48" s="88">
        <v>927730.98</v>
      </c>
      <c r="J48" s="218">
        <v>930522.96</v>
      </c>
      <c r="K48" s="218">
        <v>897375.65</v>
      </c>
      <c r="L48" s="88">
        <v>909095.49</v>
      </c>
      <c r="M48" s="88">
        <v>896203.07</v>
      </c>
      <c r="N48" s="88">
        <v>1407380.73</v>
      </c>
      <c r="O48" s="207">
        <f>SUM(C48:N48)</f>
        <v>11786890.460000001</v>
      </c>
      <c r="P48" s="204"/>
      <c r="S48" s="206"/>
    </row>
    <row r="49" spans="1:19" x14ac:dyDescent="0.2">
      <c r="A49" s="204" t="s">
        <v>274</v>
      </c>
      <c r="B49" s="202" t="s">
        <v>275</v>
      </c>
      <c r="C49" s="39"/>
      <c r="D49" s="39"/>
      <c r="E49" s="39"/>
      <c r="F49" s="39"/>
      <c r="G49" s="39"/>
      <c r="H49" s="39"/>
      <c r="I49" s="88"/>
      <c r="J49" s="218">
        <v>24623.99</v>
      </c>
      <c r="K49" s="218">
        <v>24518.67</v>
      </c>
      <c r="L49" s="88">
        <v>8143.18</v>
      </c>
      <c r="M49" s="88">
        <v>7801.11</v>
      </c>
      <c r="N49" s="88">
        <v>7423.87</v>
      </c>
      <c r="O49" s="207">
        <f t="shared" ref="O49:O51" si="13">SUM(C49:N49)</f>
        <v>72510.820000000007</v>
      </c>
      <c r="P49" s="204"/>
      <c r="S49" s="206"/>
    </row>
    <row r="50" spans="1:19" x14ac:dyDescent="0.2">
      <c r="A50" s="204" t="s">
        <v>271</v>
      </c>
      <c r="B50" s="202" t="s">
        <v>74</v>
      </c>
      <c r="C50" s="39">
        <v>634202.80999999994</v>
      </c>
      <c r="D50" s="39">
        <v>710652.95000000007</v>
      </c>
      <c r="E50" s="39">
        <v>315616.17000000004</v>
      </c>
      <c r="F50" s="39">
        <v>692334.52</v>
      </c>
      <c r="G50" s="39">
        <v>843430.89</v>
      </c>
      <c r="H50" s="39">
        <v>515951.92</v>
      </c>
      <c r="I50" s="88">
        <v>722080.15</v>
      </c>
      <c r="J50" s="218">
        <v>647616.71</v>
      </c>
      <c r="K50" s="218">
        <v>775481.76</v>
      </c>
      <c r="L50" s="88">
        <v>729018.17</v>
      </c>
      <c r="M50" s="88">
        <v>556960.93000000005</v>
      </c>
      <c r="N50" s="88">
        <v>766447.03</v>
      </c>
      <c r="O50" s="207">
        <f t="shared" si="13"/>
        <v>7909794.0099999998</v>
      </c>
      <c r="P50" s="204"/>
      <c r="S50" s="206"/>
    </row>
    <row r="51" spans="1:19" x14ac:dyDescent="0.2">
      <c r="A51" s="204" t="s">
        <v>297</v>
      </c>
      <c r="B51" s="202" t="s">
        <v>73</v>
      </c>
      <c r="C51" s="39">
        <v>19699.73</v>
      </c>
      <c r="D51" s="39">
        <v>39427.120000000003</v>
      </c>
      <c r="E51" s="39">
        <v>2870</v>
      </c>
      <c r="F51" s="39">
        <v>167736.06</v>
      </c>
      <c r="G51" s="39">
        <v>38117.31</v>
      </c>
      <c r="H51" s="39">
        <v>20292.59</v>
      </c>
      <c r="I51" s="88">
        <v>16943.46</v>
      </c>
      <c r="J51" s="218">
        <v>16762.96</v>
      </c>
      <c r="K51" s="218">
        <v>47324.91</v>
      </c>
      <c r="L51" s="88">
        <v>34997.39</v>
      </c>
      <c r="M51" s="88">
        <v>34255.050000000003</v>
      </c>
      <c r="N51" s="88">
        <v>66898.94</v>
      </c>
      <c r="O51" s="207">
        <f t="shared" si="13"/>
        <v>505325.52</v>
      </c>
      <c r="P51" s="204"/>
      <c r="S51" s="206"/>
    </row>
    <row r="52" spans="1:19" x14ac:dyDescent="0.25">
      <c r="B52" s="101" t="s">
        <v>29</v>
      </c>
      <c r="C52" s="208">
        <f t="shared" ref="C52:O52" si="14">SUM(C48:C51)</f>
        <v>1746033.1599999997</v>
      </c>
      <c r="D52" s="208">
        <f t="shared" si="14"/>
        <v>1750967.08</v>
      </c>
      <c r="E52" s="208">
        <f t="shared" si="14"/>
        <v>1027760.89</v>
      </c>
      <c r="F52" s="208">
        <f t="shared" si="14"/>
        <v>1035382.47</v>
      </c>
      <c r="G52" s="208">
        <f t="shared" si="14"/>
        <v>2598770.77</v>
      </c>
      <c r="H52" s="208">
        <f t="shared" si="14"/>
        <v>1659999.28</v>
      </c>
      <c r="I52" s="208">
        <f t="shared" si="14"/>
        <v>1666754.5899999999</v>
      </c>
      <c r="J52" s="208">
        <f t="shared" si="14"/>
        <v>1619526.6199999999</v>
      </c>
      <c r="K52" s="208">
        <f t="shared" si="14"/>
        <v>1744700.99</v>
      </c>
      <c r="L52" s="208">
        <f>SUM(L48:L51)</f>
        <v>1681254.23</v>
      </c>
      <c r="M52" s="208">
        <f t="shared" si="14"/>
        <v>1495220.16</v>
      </c>
      <c r="N52" s="208">
        <f t="shared" si="14"/>
        <v>2248150.5699999998</v>
      </c>
      <c r="O52" s="208">
        <f t="shared" si="14"/>
        <v>20274520.809999999</v>
      </c>
      <c r="P52" s="204"/>
      <c r="S52" s="206"/>
    </row>
    <row r="53" spans="1:19" x14ac:dyDescent="0.25">
      <c r="L53" s="73"/>
      <c r="P53" s="204" t="s">
        <v>24</v>
      </c>
      <c r="S53" s="206"/>
    </row>
    <row r="55" spans="1:19" x14ac:dyDescent="0.25">
      <c r="B55" s="202" t="s">
        <v>72</v>
      </c>
      <c r="C55" s="215">
        <f>C43-C52</f>
        <v>-480763.83999999985</v>
      </c>
      <c r="D55" s="215">
        <f t="shared" ref="D55:O55" si="15">D43-D52</f>
        <v>-419937</v>
      </c>
      <c r="E55" s="215">
        <f t="shared" si="15"/>
        <v>374915.20000000007</v>
      </c>
      <c r="F55" s="215">
        <f t="shared" si="15"/>
        <v>469521.58999999985</v>
      </c>
      <c r="G55" s="215">
        <f t="shared" si="15"/>
        <v>-989298.89999999991</v>
      </c>
      <c r="H55" s="215">
        <f t="shared" si="15"/>
        <v>167994.28000000003</v>
      </c>
      <c r="I55" s="215">
        <f t="shared" si="15"/>
        <v>-48662.699999999721</v>
      </c>
      <c r="J55" s="215">
        <f t="shared" si="15"/>
        <v>102543.65000000014</v>
      </c>
      <c r="K55" s="215">
        <f t="shared" si="15"/>
        <v>-284962.05000000005</v>
      </c>
      <c r="L55" s="215">
        <f t="shared" si="15"/>
        <v>-187496.10000000009</v>
      </c>
      <c r="M55" s="215">
        <f>M43-M52</f>
        <v>286394.01999999979</v>
      </c>
      <c r="N55" s="215">
        <f t="shared" si="15"/>
        <v>346776.12000000011</v>
      </c>
      <c r="O55" s="215">
        <f t="shared" si="15"/>
        <v>-662975.72999999672</v>
      </c>
      <c r="P55" s="215">
        <f>O55/O52*100</f>
        <v>-3.2699945720689847</v>
      </c>
      <c r="S55" s="206"/>
    </row>
    <row r="56" spans="1:19" x14ac:dyDescent="0.25">
      <c r="B56" s="216" t="s">
        <v>71</v>
      </c>
      <c r="C56" s="88">
        <f>C40-C48</f>
        <v>-176520.02999999991</v>
      </c>
      <c r="D56" s="88">
        <f t="shared" ref="D56:O56" si="16">D40-D48</f>
        <v>-142487.74</v>
      </c>
      <c r="E56" s="88">
        <f t="shared" si="16"/>
        <v>175444.55000000005</v>
      </c>
      <c r="F56" s="88">
        <f t="shared" si="16"/>
        <v>722663.96</v>
      </c>
      <c r="G56" s="88">
        <f t="shared" si="16"/>
        <v>-840742.17999999982</v>
      </c>
      <c r="H56" s="88">
        <f t="shared" si="16"/>
        <v>-242013.83000000007</v>
      </c>
      <c r="I56" s="88">
        <f t="shared" si="16"/>
        <v>-38021.400000000023</v>
      </c>
      <c r="J56" s="88">
        <f t="shared" si="16"/>
        <v>-33816.599999999977</v>
      </c>
      <c r="K56" s="88">
        <f t="shared" si="16"/>
        <v>-37848.040000000037</v>
      </c>
      <c r="L56" s="88">
        <f t="shared" si="16"/>
        <v>-9202.0500000000466</v>
      </c>
      <c r="M56" s="88">
        <f>M40-M48</f>
        <v>-12319.469999999972</v>
      </c>
      <c r="N56" s="88">
        <f t="shared" si="16"/>
        <v>31264.969999999972</v>
      </c>
      <c r="O56" s="88">
        <f t="shared" si="16"/>
        <v>-603597.86000000127</v>
      </c>
      <c r="P56" s="204"/>
      <c r="S56" s="206"/>
    </row>
    <row r="57" spans="1:19" x14ac:dyDescent="0.25">
      <c r="B57" s="216" t="s">
        <v>70</v>
      </c>
      <c r="C57" s="88">
        <f>C41-C50</f>
        <v>-302474.32999999996</v>
      </c>
      <c r="D57" s="88">
        <f t="shared" ref="D57:O57" si="17">D41-D50</f>
        <v>-257450.15000000008</v>
      </c>
      <c r="E57" s="88">
        <f t="shared" si="17"/>
        <v>182927.63999999996</v>
      </c>
      <c r="F57" s="88">
        <f t="shared" si="17"/>
        <v>-120787.53000000003</v>
      </c>
      <c r="G57" s="88">
        <f t="shared" si="17"/>
        <v>-139265.57999999996</v>
      </c>
      <c r="H57" s="88">
        <f t="shared" si="17"/>
        <v>87753.93</v>
      </c>
      <c r="I57" s="88">
        <f t="shared" si="17"/>
        <v>-102378.46000000008</v>
      </c>
      <c r="J57" s="88">
        <f t="shared" si="17"/>
        <v>150524.10999999999</v>
      </c>
      <c r="K57" s="88">
        <f t="shared" si="17"/>
        <v>-237495.69000000006</v>
      </c>
      <c r="L57" s="88">
        <f t="shared" si="17"/>
        <v>-165266.35000000009</v>
      </c>
      <c r="M57" s="88">
        <f t="shared" si="17"/>
        <v>288121.7699999999</v>
      </c>
      <c r="N57" s="88">
        <f t="shared" si="17"/>
        <v>-9944.8800000000047</v>
      </c>
      <c r="O57" s="88">
        <f t="shared" si="17"/>
        <v>-625735.51999999862</v>
      </c>
      <c r="P57" s="204"/>
      <c r="S57" s="206"/>
    </row>
    <row r="58" spans="1:19" x14ac:dyDescent="0.25">
      <c r="B58" s="216" t="s">
        <v>69</v>
      </c>
      <c r="C58" s="88">
        <f>C42-C51</f>
        <v>-1769.4799999999996</v>
      </c>
      <c r="D58" s="88">
        <f t="shared" ref="D58:O58" si="18">D42-D51</f>
        <v>-19999.110000000004</v>
      </c>
      <c r="E58" s="88">
        <f t="shared" si="18"/>
        <v>16543.009999999998</v>
      </c>
      <c r="F58" s="88">
        <f t="shared" si="18"/>
        <v>-132354.84</v>
      </c>
      <c r="G58" s="88">
        <f t="shared" si="18"/>
        <v>-9291.14</v>
      </c>
      <c r="H58" s="88">
        <f t="shared" si="18"/>
        <v>322254.18</v>
      </c>
      <c r="I58" s="88">
        <f t="shared" si="18"/>
        <v>91737.16</v>
      </c>
      <c r="J58" s="88">
        <f t="shared" si="18"/>
        <v>10460.130000000001</v>
      </c>
      <c r="K58" s="88">
        <f t="shared" si="18"/>
        <v>14900.349999999999</v>
      </c>
      <c r="L58" s="88">
        <f t="shared" si="18"/>
        <v>-4884.5200000000004</v>
      </c>
      <c r="M58" s="88">
        <f t="shared" si="18"/>
        <v>18392.829999999994</v>
      </c>
      <c r="N58" s="88">
        <f t="shared" si="18"/>
        <v>332879.90000000002</v>
      </c>
      <c r="O58" s="88">
        <f t="shared" si="18"/>
        <v>638868.47</v>
      </c>
      <c r="P58" s="204"/>
      <c r="S58" s="206"/>
    </row>
    <row r="60" spans="1:19" x14ac:dyDescent="0.25">
      <c r="B60" s="202" t="s">
        <v>279</v>
      </c>
      <c r="C60" s="217">
        <f>C13-C43</f>
        <v>542413.19999999995</v>
      </c>
      <c r="D60" s="217">
        <f>D13-D43</f>
        <v>310102.64999999991</v>
      </c>
      <c r="E60" s="217">
        <f t="shared" ref="E60:N60" si="19">E13-E43</f>
        <v>135208.39999999967</v>
      </c>
      <c r="F60" s="217">
        <f t="shared" si="19"/>
        <v>354318.11999999988</v>
      </c>
      <c r="G60" s="217">
        <f t="shared" si="19"/>
        <v>367613.55999999982</v>
      </c>
      <c r="H60" s="217">
        <f t="shared" si="19"/>
        <v>24880.579999999842</v>
      </c>
      <c r="I60" s="217">
        <f t="shared" si="19"/>
        <v>349387.15999999968</v>
      </c>
      <c r="J60" s="217">
        <f t="shared" si="19"/>
        <v>-203741.32000000007</v>
      </c>
      <c r="K60" s="217">
        <f t="shared" si="19"/>
        <v>-182656</v>
      </c>
      <c r="L60" s="217">
        <f t="shared" si="19"/>
        <v>45520.719999999972</v>
      </c>
      <c r="M60" s="217">
        <f t="shared" si="19"/>
        <v>181459.73000000045</v>
      </c>
      <c r="N60" s="217">
        <f t="shared" si="19"/>
        <v>-443698.2799999998</v>
      </c>
      <c r="O60" s="88">
        <f>SUM(C60:N60)</f>
        <v>1480808.5199999993</v>
      </c>
      <c r="P60" s="204"/>
      <c r="S60" s="206"/>
    </row>
    <row r="61" spans="1:19" x14ac:dyDescent="0.25">
      <c r="B61" s="202" t="s">
        <v>280</v>
      </c>
      <c r="C61" s="88">
        <f t="shared" ref="C61:N61" si="20">C10</f>
        <v>291861.37</v>
      </c>
      <c r="D61" s="88">
        <f t="shared" si="20"/>
        <v>0</v>
      </c>
      <c r="E61" s="88">
        <f t="shared" si="20"/>
        <v>0</v>
      </c>
      <c r="F61" s="88">
        <f t="shared" si="20"/>
        <v>0</v>
      </c>
      <c r="G61" s="88">
        <f t="shared" si="20"/>
        <v>433032</v>
      </c>
      <c r="H61" s="88">
        <f t="shared" si="20"/>
        <v>100000</v>
      </c>
      <c r="I61" s="88">
        <f t="shared" si="20"/>
        <v>243750</v>
      </c>
      <c r="J61" s="88">
        <f t="shared" si="20"/>
        <v>0</v>
      </c>
      <c r="K61" s="88">
        <f t="shared" si="20"/>
        <v>0</v>
      </c>
      <c r="L61" s="88">
        <f t="shared" si="20"/>
        <v>81600</v>
      </c>
      <c r="M61" s="88">
        <f t="shared" si="20"/>
        <v>443218.36</v>
      </c>
      <c r="N61" s="88">
        <f t="shared" si="20"/>
        <v>91200.14</v>
      </c>
      <c r="O61" s="88">
        <f>SUM(C61:N61)</f>
        <v>1684661.8699999999</v>
      </c>
      <c r="P61" s="204"/>
      <c r="S61" s="206"/>
    </row>
    <row r="62" spans="1:19" x14ac:dyDescent="0.25">
      <c r="B62" s="202" t="s">
        <v>281</v>
      </c>
      <c r="C62" s="217">
        <f>C60-C61</f>
        <v>250551.82999999996</v>
      </c>
      <c r="D62" s="217">
        <f t="shared" ref="D62:N62" si="21">D60-D61</f>
        <v>310102.64999999991</v>
      </c>
      <c r="E62" s="217">
        <f t="shared" si="21"/>
        <v>135208.39999999967</v>
      </c>
      <c r="F62" s="217">
        <f t="shared" si="21"/>
        <v>354318.11999999988</v>
      </c>
      <c r="G62" s="217">
        <f t="shared" si="21"/>
        <v>-65418.440000000177</v>
      </c>
      <c r="H62" s="217">
        <f t="shared" si="21"/>
        <v>-75119.420000000158</v>
      </c>
      <c r="I62" s="217">
        <f t="shared" si="21"/>
        <v>105637.15999999968</v>
      </c>
      <c r="J62" s="217">
        <f t="shared" si="21"/>
        <v>-203741.32000000007</v>
      </c>
      <c r="K62" s="217">
        <f t="shared" si="21"/>
        <v>-182656</v>
      </c>
      <c r="L62" s="217">
        <f t="shared" si="21"/>
        <v>-36079.280000000028</v>
      </c>
      <c r="M62" s="217">
        <f t="shared" si="21"/>
        <v>-261758.62999999954</v>
      </c>
      <c r="N62" s="217">
        <f t="shared" si="21"/>
        <v>-534898.41999999981</v>
      </c>
      <c r="O62" s="88">
        <f>SUM(C62:N62)</f>
        <v>-203853.35000000056</v>
      </c>
      <c r="P62" s="204"/>
      <c r="S62" s="206"/>
    </row>
    <row r="64" spans="1:19" x14ac:dyDescent="0.25">
      <c r="B64" s="202" t="s">
        <v>278</v>
      </c>
      <c r="C64" s="217">
        <f>C29-C52</f>
        <v>-76220.989999999758</v>
      </c>
      <c r="D64" s="217">
        <f t="shared" ref="D64:O64" si="22">D29-D52</f>
        <v>214130.05000000005</v>
      </c>
      <c r="E64" s="217">
        <f t="shared" si="22"/>
        <v>492773.57999999996</v>
      </c>
      <c r="F64" s="217">
        <f t="shared" si="22"/>
        <v>723117.05999999982</v>
      </c>
      <c r="G64" s="217">
        <f t="shared" si="22"/>
        <v>9940.910000000149</v>
      </c>
      <c r="H64" s="217">
        <f t="shared" si="22"/>
        <v>-176475.19000000018</v>
      </c>
      <c r="I64" s="217">
        <f t="shared" si="22"/>
        <v>940322.35999999987</v>
      </c>
      <c r="J64" s="217">
        <f t="shared" si="22"/>
        <v>-75097.840000000084</v>
      </c>
      <c r="K64" s="217">
        <f t="shared" si="22"/>
        <v>-303367.01</v>
      </c>
      <c r="L64" s="217">
        <f t="shared" si="22"/>
        <v>-180021.82999999984</v>
      </c>
      <c r="M64" s="217">
        <f>M29-M52</f>
        <v>696972.40999999992</v>
      </c>
      <c r="N64" s="217">
        <f t="shared" si="22"/>
        <v>794055.54</v>
      </c>
      <c r="O64" s="217">
        <f t="shared" si="22"/>
        <v>3060129.049999997</v>
      </c>
    </row>
    <row r="65" spans="2:15" x14ac:dyDescent="0.25">
      <c r="B65" s="202" t="s">
        <v>280</v>
      </c>
      <c r="C65" s="88">
        <f>C26</f>
        <v>0</v>
      </c>
      <c r="D65" s="88">
        <f t="shared" ref="D65:O65" si="23">D26</f>
        <v>0</v>
      </c>
      <c r="E65" s="88">
        <f t="shared" si="23"/>
        <v>0</v>
      </c>
      <c r="F65" s="88">
        <f t="shared" si="23"/>
        <v>0</v>
      </c>
      <c r="G65" s="88">
        <f t="shared" si="23"/>
        <v>931406.07</v>
      </c>
      <c r="H65" s="88">
        <f t="shared" si="23"/>
        <v>0</v>
      </c>
      <c r="I65" s="88">
        <f t="shared" si="23"/>
        <v>51340</v>
      </c>
      <c r="J65" s="88">
        <f t="shared" si="23"/>
        <v>0</v>
      </c>
      <c r="K65" s="88">
        <f t="shared" si="23"/>
        <v>0</v>
      </c>
      <c r="L65" s="88">
        <f t="shared" si="23"/>
        <v>0</v>
      </c>
      <c r="M65" s="88">
        <f t="shared" si="23"/>
        <v>713134.67</v>
      </c>
      <c r="N65" s="88">
        <f t="shared" si="23"/>
        <v>0</v>
      </c>
      <c r="O65" s="88">
        <f t="shared" si="23"/>
        <v>1695880.74</v>
      </c>
    </row>
    <row r="66" spans="2:15" x14ac:dyDescent="0.25">
      <c r="B66" s="202" t="s">
        <v>281</v>
      </c>
      <c r="C66" s="217">
        <f>C64-C65</f>
        <v>-76220.989999999758</v>
      </c>
      <c r="D66" s="217">
        <f t="shared" ref="D66:O66" si="24">D64-D65</f>
        <v>214130.05000000005</v>
      </c>
      <c r="E66" s="217">
        <f t="shared" si="24"/>
        <v>492773.57999999996</v>
      </c>
      <c r="F66" s="217">
        <f t="shared" si="24"/>
        <v>723117.05999999982</v>
      </c>
      <c r="G66" s="217">
        <f t="shared" si="24"/>
        <v>-921465.1599999998</v>
      </c>
      <c r="H66" s="217">
        <f t="shared" si="24"/>
        <v>-176475.19000000018</v>
      </c>
      <c r="I66" s="217">
        <f t="shared" si="24"/>
        <v>888982.35999999987</v>
      </c>
      <c r="J66" s="217">
        <f t="shared" si="24"/>
        <v>-75097.840000000084</v>
      </c>
      <c r="K66" s="217">
        <f t="shared" si="24"/>
        <v>-303367.01</v>
      </c>
      <c r="L66" s="217">
        <f t="shared" si="24"/>
        <v>-180021.82999999984</v>
      </c>
      <c r="M66" s="217">
        <f>M64-M65</f>
        <v>-16162.260000000126</v>
      </c>
      <c r="N66" s="217">
        <f t="shared" si="24"/>
        <v>794055.54</v>
      </c>
      <c r="O66" s="217">
        <f t="shared" si="24"/>
        <v>1364248.309999997</v>
      </c>
    </row>
    <row r="67" spans="2:15" x14ac:dyDescent="0.25">
      <c r="I67" s="73"/>
      <c r="K67" s="73"/>
      <c r="L67" s="73"/>
    </row>
    <row r="68" spans="2:15" x14ac:dyDescent="0.25">
      <c r="I68" s="73"/>
      <c r="J68" s="73"/>
      <c r="K68" s="73"/>
      <c r="L68" s="73"/>
      <c r="M68" s="73"/>
    </row>
    <row r="69" spans="2:15" x14ac:dyDescent="0.25">
      <c r="I69" s="73"/>
      <c r="J69" s="73"/>
      <c r="K69" s="73"/>
      <c r="L69" s="317"/>
      <c r="M69" s="73"/>
    </row>
    <row r="70" spans="2:15" x14ac:dyDescent="0.25">
      <c r="I70" s="73"/>
      <c r="J70" s="73"/>
      <c r="L70" s="73"/>
      <c r="M70" s="73"/>
    </row>
    <row r="71" spans="2:15" x14ac:dyDescent="0.25">
      <c r="I71" s="73"/>
      <c r="J71" s="73"/>
      <c r="L71" s="73"/>
      <c r="M71" s="73"/>
    </row>
    <row r="72" spans="2:15" x14ac:dyDescent="0.25">
      <c r="J72" s="73"/>
      <c r="L72" s="73"/>
      <c r="M72" s="73"/>
    </row>
    <row r="73" spans="2:15" x14ac:dyDescent="0.25">
      <c r="J73" s="73"/>
      <c r="L73" s="73"/>
      <c r="M73" s="73"/>
    </row>
    <row r="74" spans="2:15" x14ac:dyDescent="0.25">
      <c r="J74" s="73"/>
      <c r="L74" s="73"/>
      <c r="M74" s="73"/>
    </row>
    <row r="75" spans="2:15" x14ac:dyDescent="0.25">
      <c r="J75" s="73"/>
      <c r="M75" s="73"/>
    </row>
    <row r="76" spans="2:15" x14ac:dyDescent="0.25">
      <c r="M76" s="73"/>
    </row>
    <row r="77" spans="2:15" x14ac:dyDescent="0.25">
      <c r="J77" s="73"/>
      <c r="M77" s="73"/>
    </row>
    <row r="78" spans="2:15" x14ac:dyDescent="0.25">
      <c r="J78" s="73"/>
      <c r="M78" s="73"/>
    </row>
    <row r="79" spans="2:15" x14ac:dyDescent="0.25">
      <c r="M79" s="73"/>
    </row>
  </sheetData>
  <mergeCells count="5">
    <mergeCell ref="A1:B1"/>
    <mergeCell ref="C2:K2"/>
    <mergeCell ref="C18:K18"/>
    <mergeCell ref="B38:K38"/>
    <mergeCell ref="B46:K46"/>
  </mergeCells>
  <pageMargins left="0.51181102362204722" right="0.51181102362204722" top="0.78740157480314965" bottom="0.78740157480314965" header="0.31496062992125984" footer="0.31496062992125984"/>
  <pageSetup paperSize="9" scale="6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0"/>
  <sheetViews>
    <sheetView topLeftCell="A7" workbookViewId="0">
      <selection activeCell="F21" sqref="F21:F22"/>
    </sheetView>
  </sheetViews>
  <sheetFormatPr defaultRowHeight="12.75" x14ac:dyDescent="0.25"/>
  <cols>
    <col min="1" max="1" width="6.85546875" style="74" bestFit="1" customWidth="1"/>
    <col min="2" max="2" width="35.7109375" style="73" bestFit="1" customWidth="1"/>
    <col min="3" max="3" width="13.140625" style="73" customWidth="1"/>
    <col min="4" max="4" width="6.42578125" style="73" bestFit="1" customWidth="1"/>
    <col min="5" max="5" width="11.28515625" style="73" bestFit="1" customWidth="1"/>
    <col min="6" max="6" width="6.42578125" style="73" bestFit="1" customWidth="1"/>
    <col min="7" max="7" width="12.28515625" style="73" bestFit="1" customWidth="1"/>
    <col min="8" max="8" width="7" style="73" bestFit="1" customWidth="1"/>
    <col min="9" max="9" width="14.140625" style="73" customWidth="1"/>
    <col min="10" max="10" width="6.42578125" style="73" bestFit="1" customWidth="1"/>
    <col min="11" max="11" width="13.5703125" style="73" bestFit="1" customWidth="1"/>
    <col min="12" max="12" width="6.42578125" style="73" bestFit="1" customWidth="1"/>
    <col min="13" max="13" width="12.5703125" style="73" bestFit="1" customWidth="1"/>
    <col min="14" max="14" width="6.42578125" style="73" bestFit="1" customWidth="1"/>
    <col min="15" max="15" width="12.28515625" style="73" bestFit="1" customWidth="1"/>
    <col min="16" max="16" width="13.140625" style="73" bestFit="1" customWidth="1"/>
    <col min="17" max="17" width="14.5703125" style="73" bestFit="1" customWidth="1"/>
    <col min="18" max="18" width="6.42578125" style="73" customWidth="1"/>
    <col min="19" max="19" width="11.42578125" style="73" bestFit="1" customWidth="1"/>
    <col min="20" max="20" width="6.42578125" style="73" customWidth="1"/>
    <col min="21" max="21" width="12.42578125" style="73" bestFit="1" customWidth="1"/>
    <col min="22" max="22" width="6.42578125" style="73" customWidth="1"/>
    <col min="23" max="23" width="11.85546875" style="73" bestFit="1" customWidth="1"/>
    <col min="24" max="24" width="6.42578125" style="73" customWidth="1"/>
    <col min="25" max="25" width="14.85546875" style="73" customWidth="1"/>
    <col min="26" max="26" width="6.42578125" style="73" customWidth="1"/>
    <col min="27" max="27" width="12.5703125" style="73" bestFit="1" customWidth="1"/>
    <col min="28" max="28" width="6.42578125" style="73" customWidth="1"/>
    <col min="29" max="29" width="12.42578125" style="73" bestFit="1" customWidth="1"/>
    <col min="30" max="30" width="13.28515625" style="73" bestFit="1" customWidth="1"/>
    <col min="31" max="31" width="14.7109375" style="73" bestFit="1" customWidth="1"/>
    <col min="32" max="16384" width="9.140625" style="73"/>
  </cols>
  <sheetData>
    <row r="1" spans="1:30" ht="16.5" thickBot="1" x14ac:dyDescent="0.3">
      <c r="A1" s="354" t="s">
        <v>272</v>
      </c>
      <c r="B1" s="355"/>
      <c r="C1" s="311">
        <v>43803</v>
      </c>
    </row>
    <row r="2" spans="1:30" ht="18.75" x14ac:dyDescent="0.25">
      <c r="A2" s="357" t="s">
        <v>68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</row>
    <row r="3" spans="1:30" ht="13.5" thickBot="1" x14ac:dyDescent="0.3"/>
    <row r="4" spans="1:30" ht="13.5" thickBot="1" x14ac:dyDescent="0.3">
      <c r="A4" s="95" t="s">
        <v>60</v>
      </c>
      <c r="B4" s="82" t="s">
        <v>59</v>
      </c>
      <c r="C4" s="82" t="s">
        <v>67</v>
      </c>
      <c r="D4" s="82" t="s">
        <v>24</v>
      </c>
      <c r="E4" s="82" t="s">
        <v>66</v>
      </c>
      <c r="F4" s="82" t="s">
        <v>24</v>
      </c>
      <c r="G4" s="82" t="s">
        <v>65</v>
      </c>
      <c r="H4" s="82" t="s">
        <v>24</v>
      </c>
      <c r="I4" s="82" t="s">
        <v>64</v>
      </c>
      <c r="J4" s="82" t="s">
        <v>24</v>
      </c>
      <c r="K4" s="82" t="s">
        <v>63</v>
      </c>
      <c r="L4" s="82" t="s">
        <v>24</v>
      </c>
      <c r="M4" s="82" t="s">
        <v>62</v>
      </c>
      <c r="N4" s="82" t="s">
        <v>24</v>
      </c>
      <c r="O4" s="82" t="s">
        <v>61</v>
      </c>
      <c r="P4" s="81" t="s">
        <v>24</v>
      </c>
    </row>
    <row r="5" spans="1:30" x14ac:dyDescent="0.2">
      <c r="A5" s="91">
        <v>2</v>
      </c>
      <c r="B5" s="84" t="s">
        <v>49</v>
      </c>
      <c r="C5" s="97">
        <v>651300</v>
      </c>
      <c r="D5" s="84">
        <f>C5*100/C16</f>
        <v>3.2313330853976887</v>
      </c>
      <c r="E5" s="96">
        <v>52737.07</v>
      </c>
      <c r="F5" s="84">
        <f>E5*100/E16</f>
        <v>3.0203933813032506</v>
      </c>
      <c r="G5" s="96">
        <v>57055.519999999997</v>
      </c>
      <c r="H5" s="84">
        <f>G5*100/G16</f>
        <v>3.1947634465950783</v>
      </c>
      <c r="I5" s="96">
        <v>44580.25</v>
      </c>
      <c r="J5" s="84">
        <f>I5*100/I16</f>
        <v>4.400174454390557</v>
      </c>
      <c r="K5" s="97">
        <v>8931.9699999999993</v>
      </c>
      <c r="L5" s="84">
        <f>K5*100/K16</f>
        <v>0.86267348142372913</v>
      </c>
      <c r="M5" s="97">
        <v>99996.32</v>
      </c>
      <c r="N5" s="84">
        <f>M5*100/M16</f>
        <v>3.8478314884232749</v>
      </c>
      <c r="O5" s="96">
        <v>75636.160000000003</v>
      </c>
      <c r="P5" s="84">
        <f>O5*100/O16</f>
        <v>4.5563971569915376</v>
      </c>
    </row>
    <row r="6" spans="1:30" x14ac:dyDescent="0.2">
      <c r="A6" s="89">
        <v>3</v>
      </c>
      <c r="B6" s="88" t="s">
        <v>48</v>
      </c>
      <c r="C6" s="97">
        <v>805700</v>
      </c>
      <c r="D6" s="84">
        <f>C6*100/C16</f>
        <v>3.9973669075770273</v>
      </c>
      <c r="E6" s="96">
        <v>71991.19</v>
      </c>
      <c r="F6" s="84">
        <f>E6*100/E16</f>
        <v>4.1231284519247042</v>
      </c>
      <c r="G6" s="96">
        <v>92943.74</v>
      </c>
      <c r="H6" s="84">
        <f>G6*100/G16</f>
        <v>5.2042863362184208</v>
      </c>
      <c r="I6" s="96">
        <v>54555.55</v>
      </c>
      <c r="J6" s="84">
        <f>I6*100/I16</f>
        <v>5.384759786121136</v>
      </c>
      <c r="K6" s="97">
        <v>29870.63</v>
      </c>
      <c r="L6" s="84">
        <f>K6*100/K16</f>
        <v>2.8849851012061269</v>
      </c>
      <c r="M6" s="97">
        <v>102323.25</v>
      </c>
      <c r="N6" s="84">
        <f>M6*100/M16</f>
        <v>3.9373711287356059</v>
      </c>
      <c r="O6" s="96">
        <v>80198.83</v>
      </c>
      <c r="P6" s="84">
        <f>O6*100/O16</f>
        <v>4.8312569147620357</v>
      </c>
    </row>
    <row r="7" spans="1:30" x14ac:dyDescent="0.2">
      <c r="A7" s="89">
        <v>4</v>
      </c>
      <c r="B7" s="88" t="s">
        <v>47</v>
      </c>
      <c r="C7" s="97">
        <v>653200</v>
      </c>
      <c r="D7" s="84">
        <f>C7*100/C16</f>
        <v>3.2407596674063721</v>
      </c>
      <c r="E7" s="96">
        <v>50319.12</v>
      </c>
      <c r="F7" s="84">
        <f>E7*100/E16</f>
        <v>2.8819109025397887</v>
      </c>
      <c r="G7" s="96">
        <v>61329.54</v>
      </c>
      <c r="H7" s="84">
        <f>G7*100/G16</f>
        <v>3.4340826722548621</v>
      </c>
      <c r="I7" s="96">
        <v>37174.14</v>
      </c>
      <c r="J7" s="84">
        <f>I7*100/I16</f>
        <v>3.6691741565365423</v>
      </c>
      <c r="K7" s="97">
        <v>17788.47</v>
      </c>
      <c r="L7" s="84">
        <f>K7*100/K16</f>
        <v>1.7180578689921222</v>
      </c>
      <c r="M7" s="97">
        <v>80247.990000000005</v>
      </c>
      <c r="N7" s="84">
        <f>M7*100/M16</f>
        <v>3.0879210635418994</v>
      </c>
      <c r="O7" s="96">
        <v>60915.51</v>
      </c>
      <c r="P7" s="84">
        <f>O7*100/O16</f>
        <v>3.669610627782923</v>
      </c>
    </row>
    <row r="8" spans="1:30" x14ac:dyDescent="0.2">
      <c r="A8" s="89">
        <v>5</v>
      </c>
      <c r="B8" s="88" t="s">
        <v>46</v>
      </c>
      <c r="C8" s="97">
        <v>1149900</v>
      </c>
      <c r="D8" s="84">
        <f>C8*100/C16</f>
        <v>5.7050666588343351</v>
      </c>
      <c r="E8" s="96">
        <v>97543.07</v>
      </c>
      <c r="F8" s="84">
        <f>E8*100/E16</f>
        <v>5.5865531213622539</v>
      </c>
      <c r="G8" s="96">
        <v>62528.33</v>
      </c>
      <c r="H8" s="84">
        <f>G8*100/G16</f>
        <v>3.5012076493323421</v>
      </c>
      <c r="I8" s="96">
        <v>39842.69</v>
      </c>
      <c r="J8" s="84">
        <f>I8*100/I16</f>
        <v>3.9325662537155379</v>
      </c>
      <c r="K8" s="97">
        <v>33472.870000000003</v>
      </c>
      <c r="L8" s="84">
        <f>K8*100/K16</f>
        <v>3.2328990464750675</v>
      </c>
      <c r="M8" s="97">
        <v>76548.08</v>
      </c>
      <c r="N8" s="84">
        <f>M8*100/M16</f>
        <v>2.9455495222458579</v>
      </c>
      <c r="O8" s="96">
        <v>100160.26</v>
      </c>
      <c r="P8" s="84">
        <f>O8*100/O16</f>
        <v>6.0337532194592276</v>
      </c>
    </row>
    <row r="9" spans="1:30" x14ac:dyDescent="0.2">
      <c r="A9" s="89">
        <v>6</v>
      </c>
      <c r="B9" s="88" t="s">
        <v>45</v>
      </c>
      <c r="C9" s="97">
        <v>5994100</v>
      </c>
      <c r="D9" s="84">
        <f>C9*100/C16</f>
        <v>29.738881693815884</v>
      </c>
      <c r="E9" s="96">
        <v>670347.25</v>
      </c>
      <c r="F9" s="84">
        <f>E9*100/E16</f>
        <v>38.392584136260041</v>
      </c>
      <c r="G9" s="96">
        <v>431682.43</v>
      </c>
      <c r="H9" s="84">
        <f>G9*100/G16</f>
        <v>24.171600712802874</v>
      </c>
      <c r="I9" s="96">
        <v>324429.99</v>
      </c>
      <c r="J9" s="84">
        <f>I9*100/I16</f>
        <v>32.021995261044609</v>
      </c>
      <c r="K9" s="97">
        <v>235580.01</v>
      </c>
      <c r="L9" s="84">
        <f>K9*100/K16</f>
        <v>22.752945585412508</v>
      </c>
      <c r="M9" s="97">
        <v>864245.66</v>
      </c>
      <c r="N9" s="84">
        <f>M9*100/M16</f>
        <v>33.255940461420536</v>
      </c>
      <c r="O9" s="96">
        <v>583243.47</v>
      </c>
      <c r="P9" s="84">
        <f>O9*100/O16</f>
        <v>35.135164034528977</v>
      </c>
    </row>
    <row r="10" spans="1:30" x14ac:dyDescent="0.2">
      <c r="A10" s="89">
        <v>7</v>
      </c>
      <c r="B10" s="88" t="s">
        <v>44</v>
      </c>
      <c r="C10" s="97">
        <v>4141130</v>
      </c>
      <c r="D10" s="84">
        <f>C10*100/C16</f>
        <v>20.545632396641995</v>
      </c>
      <c r="E10" s="96">
        <v>390070.52</v>
      </c>
      <c r="F10" s="84">
        <f>E10*100/E16</f>
        <v>22.340384417441417</v>
      </c>
      <c r="G10" s="96">
        <v>463194.72</v>
      </c>
      <c r="H10" s="84">
        <f>G10*100/G16</f>
        <v>25.9360980341927</v>
      </c>
      <c r="I10" s="96">
        <v>310943.49</v>
      </c>
      <c r="J10" s="84">
        <f>I10*100/I16</f>
        <v>30.690846315510694</v>
      </c>
      <c r="K10" s="97">
        <v>344454.87</v>
      </c>
      <c r="L10" s="84">
        <f>K10*100/K16</f>
        <v>33.268369900062147</v>
      </c>
      <c r="M10" s="97">
        <v>612452.43999999994</v>
      </c>
      <c r="N10" s="84">
        <f>M10*100/M16</f>
        <v>23.56700510372448</v>
      </c>
      <c r="O10" s="96">
        <v>369839.43</v>
      </c>
      <c r="P10" s="84">
        <f>O10*100/O16</f>
        <v>22.279493398334484</v>
      </c>
    </row>
    <row r="11" spans="1:30" x14ac:dyDescent="0.2">
      <c r="A11" s="89">
        <v>8</v>
      </c>
      <c r="B11" s="88" t="s">
        <v>43</v>
      </c>
      <c r="C11" s="97">
        <v>709500</v>
      </c>
      <c r="D11" s="84">
        <f>C11*100/C16</f>
        <v>3.520084176400522</v>
      </c>
      <c r="E11" s="96">
        <v>60827.07</v>
      </c>
      <c r="F11" s="84">
        <f>E11*100/E16</f>
        <v>3.4837293697217064</v>
      </c>
      <c r="G11" s="96">
        <v>60890.58</v>
      </c>
      <c r="H11" s="84">
        <f>G11*100/G16</f>
        <v>3.4095035717135405</v>
      </c>
      <c r="I11" s="96">
        <v>33249.93</v>
      </c>
      <c r="J11" s="84">
        <f>I11*100/I16</f>
        <v>3.2818454942777175</v>
      </c>
      <c r="K11" s="97">
        <v>30048.639999999999</v>
      </c>
      <c r="L11" s="84">
        <f>K11*100/K16</f>
        <v>2.9021777817041849</v>
      </c>
      <c r="M11" s="97">
        <v>72271.289999999994</v>
      </c>
      <c r="N11" s="84">
        <f>M11*100/M16</f>
        <v>2.7809797937661114</v>
      </c>
      <c r="O11" s="96">
        <v>64624.05</v>
      </c>
      <c r="P11" s="84">
        <f>O11*100/O16</f>
        <v>3.8930167487783489</v>
      </c>
    </row>
    <row r="12" spans="1:30" x14ac:dyDescent="0.2">
      <c r="A12" s="89">
        <v>9</v>
      </c>
      <c r="B12" s="88" t="s">
        <v>42</v>
      </c>
      <c r="C12" s="97">
        <v>3725900</v>
      </c>
      <c r="D12" s="84">
        <f>C12*100/C16</f>
        <v>18.485527319028478</v>
      </c>
      <c r="E12" s="96">
        <v>234894.02</v>
      </c>
      <c r="F12" s="84">
        <f>E12*100/E16</f>
        <v>13.453010250962242</v>
      </c>
      <c r="G12" s="96">
        <v>329001.71000000002</v>
      </c>
      <c r="H12" s="84">
        <f>G12*100/G16</f>
        <v>18.422102488510745</v>
      </c>
      <c r="I12" s="96">
        <v>126847.78</v>
      </c>
      <c r="J12" s="84">
        <f>I12*100/I16</f>
        <v>12.520171177868079</v>
      </c>
      <c r="K12" s="97">
        <v>199816.64</v>
      </c>
      <c r="L12" s="84">
        <f>K12*100/K16</f>
        <v>19.298823940876648</v>
      </c>
      <c r="M12" s="97">
        <v>423665.68</v>
      </c>
      <c r="N12" s="84">
        <f>M12*100/M16</f>
        <v>16.302541374205159</v>
      </c>
      <c r="O12" s="96">
        <v>190062.79</v>
      </c>
      <c r="P12" s="84">
        <f>O12*100/O16</f>
        <v>11.449570628729429</v>
      </c>
    </row>
    <row r="13" spans="1:30" x14ac:dyDescent="0.2">
      <c r="A13" s="89">
        <v>10</v>
      </c>
      <c r="B13" s="88" t="s">
        <v>41</v>
      </c>
      <c r="C13" s="97">
        <v>2117888</v>
      </c>
      <c r="D13" s="84">
        <f>C13*100/C16</f>
        <v>10.507602588003593</v>
      </c>
      <c r="E13" s="96">
        <v>107997.01</v>
      </c>
      <c r="F13" s="84">
        <f>E13*100/E16</f>
        <v>6.1852782910491797</v>
      </c>
      <c r="G13" s="96">
        <v>218647.97</v>
      </c>
      <c r="H13" s="84">
        <f>G13*100/G16</f>
        <v>12.242961631551466</v>
      </c>
      <c r="I13" s="96">
        <v>32808.17</v>
      </c>
      <c r="J13" s="84">
        <f>I13*100/I16</f>
        <v>3.2382427538944407</v>
      </c>
      <c r="K13" s="97">
        <v>133845.16</v>
      </c>
      <c r="L13" s="84">
        <f>K13*100/K16</f>
        <v>12.927122476779038</v>
      </c>
      <c r="M13" s="97">
        <v>251186.82</v>
      </c>
      <c r="N13" s="84">
        <f>M13*100/M16</f>
        <v>9.6656012488550491</v>
      </c>
      <c r="O13" s="96">
        <v>125455.01</v>
      </c>
      <c r="P13" s="84">
        <f>O13*100/O16</f>
        <v>7.5575340008581211</v>
      </c>
    </row>
    <row r="14" spans="1:30" x14ac:dyDescent="0.2">
      <c r="A14" s="89">
        <v>11</v>
      </c>
      <c r="B14" s="88" t="s">
        <v>40</v>
      </c>
      <c r="C14" s="97">
        <v>40000</v>
      </c>
      <c r="D14" s="84">
        <f>C14*100/C16</f>
        <v>0.19845435807754883</v>
      </c>
      <c r="E14" s="88">
        <v>0</v>
      </c>
      <c r="F14" s="84">
        <f>E14*100/E16</f>
        <v>0</v>
      </c>
      <c r="G14" s="88">
        <v>0</v>
      </c>
      <c r="H14" s="84">
        <f>G14*100/G16</f>
        <v>0</v>
      </c>
      <c r="I14" s="88">
        <v>0</v>
      </c>
      <c r="J14" s="84">
        <f>I14*100/I16</f>
        <v>0</v>
      </c>
      <c r="K14" s="88">
        <v>0</v>
      </c>
      <c r="L14" s="84">
        <f>K14*100/K16</f>
        <v>0</v>
      </c>
      <c r="M14" s="88">
        <v>0</v>
      </c>
      <c r="N14" s="84">
        <f>M14*100/M16</f>
        <v>0</v>
      </c>
      <c r="O14" s="88">
        <v>0</v>
      </c>
      <c r="P14" s="84">
        <f>O14*100/O16</f>
        <v>0</v>
      </c>
    </row>
    <row r="15" spans="1:30" ht="13.5" thickBot="1" x14ac:dyDescent="0.25">
      <c r="A15" s="86">
        <v>12</v>
      </c>
      <c r="B15" s="85" t="s">
        <v>39</v>
      </c>
      <c r="C15" s="97">
        <v>167150</v>
      </c>
      <c r="D15" s="84">
        <f>C15*100/C16</f>
        <v>0.82929114881655708</v>
      </c>
      <c r="E15" s="96">
        <v>9306.84</v>
      </c>
      <c r="F15" s="84">
        <f>E15*100/E16</f>
        <v>0.53302767743540447</v>
      </c>
      <c r="G15" s="96">
        <v>8632.9599999999991</v>
      </c>
      <c r="H15" s="84">
        <f>G15*100/G16</f>
        <v>0.48339345682797114</v>
      </c>
      <c r="I15" s="96">
        <v>8715.34</v>
      </c>
      <c r="J15" s="84">
        <f>I15*100/I16</f>
        <v>0.86022434664068048</v>
      </c>
      <c r="K15" s="97">
        <v>1573.21</v>
      </c>
      <c r="L15" s="84">
        <f>K15*100/K16</f>
        <v>0.15194481706842108</v>
      </c>
      <c r="M15" s="97">
        <v>15833.24</v>
      </c>
      <c r="N15" s="84">
        <f>M15*100/M16</f>
        <v>0.60925881508202429</v>
      </c>
      <c r="O15" s="96">
        <v>9863.77</v>
      </c>
      <c r="P15" s="84">
        <f>O15*100/O16</f>
        <v>0.59420326977491222</v>
      </c>
    </row>
    <row r="16" spans="1:30" ht="13.5" thickBot="1" x14ac:dyDescent="0.3">
      <c r="A16" s="358" t="s">
        <v>38</v>
      </c>
      <c r="B16" s="359"/>
      <c r="C16" s="82">
        <f t="shared" ref="C16:P16" si="0">SUM(C5:C15)</f>
        <v>20155768</v>
      </c>
      <c r="D16" s="82">
        <f t="shared" si="0"/>
        <v>100</v>
      </c>
      <c r="E16" s="82">
        <f t="shared" si="0"/>
        <v>1746033.1600000001</v>
      </c>
      <c r="F16" s="82">
        <f t="shared" si="0"/>
        <v>99.999999999999972</v>
      </c>
      <c r="G16" s="82">
        <f t="shared" si="0"/>
        <v>1785907.5</v>
      </c>
      <c r="H16" s="82">
        <f t="shared" si="0"/>
        <v>100</v>
      </c>
      <c r="I16" s="82">
        <f t="shared" si="0"/>
        <v>1013147.3300000001</v>
      </c>
      <c r="J16" s="82">
        <f t="shared" si="0"/>
        <v>99.999999999999986</v>
      </c>
      <c r="K16" s="82">
        <f t="shared" si="0"/>
        <v>1035382.4700000001</v>
      </c>
      <c r="L16" s="82">
        <f t="shared" si="0"/>
        <v>99.999999999999986</v>
      </c>
      <c r="M16" s="82">
        <f t="shared" si="0"/>
        <v>2598770.77</v>
      </c>
      <c r="N16" s="82">
        <f t="shared" si="0"/>
        <v>100.00000000000001</v>
      </c>
      <c r="O16" s="82">
        <f t="shared" si="0"/>
        <v>1659999.28</v>
      </c>
      <c r="P16" s="82">
        <f t="shared" si="0"/>
        <v>100</v>
      </c>
    </row>
    <row r="17" spans="1:31" x14ac:dyDescent="0.25">
      <c r="A17" s="80"/>
      <c r="B17" s="79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</row>
    <row r="18" spans="1:31" ht="13.5" thickBot="1" x14ac:dyDescent="0.3">
      <c r="A18" s="80"/>
      <c r="B18" s="79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</row>
    <row r="19" spans="1:31" ht="13.5" thickBot="1" x14ac:dyDescent="0.3">
      <c r="A19" s="95" t="s">
        <v>60</v>
      </c>
      <c r="B19" s="82" t="s">
        <v>59</v>
      </c>
      <c r="C19" s="82" t="s">
        <v>58</v>
      </c>
      <c r="D19" s="82" t="s">
        <v>24</v>
      </c>
      <c r="E19" s="82" t="s">
        <v>57</v>
      </c>
      <c r="F19" s="82" t="s">
        <v>24</v>
      </c>
      <c r="G19" s="82" t="s">
        <v>56</v>
      </c>
      <c r="H19" s="82" t="s">
        <v>24</v>
      </c>
      <c r="I19" s="82" t="s">
        <v>55</v>
      </c>
      <c r="J19" s="94" t="s">
        <v>24</v>
      </c>
      <c r="K19" s="82" t="s">
        <v>54</v>
      </c>
      <c r="L19" s="82" t="s">
        <v>24</v>
      </c>
      <c r="M19" s="344" t="s">
        <v>53</v>
      </c>
      <c r="N19" s="82" t="s">
        <v>24</v>
      </c>
      <c r="O19" s="93" t="s">
        <v>52</v>
      </c>
      <c r="P19" s="82" t="s">
        <v>51</v>
      </c>
      <c r="Q19" s="92" t="s">
        <v>50</v>
      </c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</row>
    <row r="20" spans="1:31" x14ac:dyDescent="0.2">
      <c r="A20" s="91">
        <v>2</v>
      </c>
      <c r="B20" s="84" t="s">
        <v>49</v>
      </c>
      <c r="C20" s="97">
        <v>55152.63</v>
      </c>
      <c r="D20" s="84">
        <f>C20*100/C31</f>
        <v>3.3089832378982682</v>
      </c>
      <c r="E20" s="84">
        <v>62406.86</v>
      </c>
      <c r="F20" s="84">
        <f>E20*100/E31</f>
        <v>3.8534013105632061</v>
      </c>
      <c r="G20" s="84">
        <v>50980.08</v>
      </c>
      <c r="H20" s="84">
        <f>G20*100/G31</f>
        <v>2.9219952468760853</v>
      </c>
      <c r="I20" s="84">
        <v>56659.01</v>
      </c>
      <c r="J20" s="84">
        <f>I20*100/I31</f>
        <v>3.3700441604242091</v>
      </c>
      <c r="K20" s="84">
        <v>52596.63</v>
      </c>
      <c r="L20" s="84">
        <f>K20*100/K31</f>
        <v>3.517651206628996</v>
      </c>
      <c r="M20" s="218">
        <v>53915.38</v>
      </c>
      <c r="N20" s="84">
        <f>M20*100/M31</f>
        <v>2.4717634251120302</v>
      </c>
      <c r="O20" s="84">
        <f t="shared" ref="O20:O30" si="1">O5+M5+K5+I5+G5+E5+C20+E20+G20+I20+K20+M20</f>
        <v>670647.88</v>
      </c>
      <c r="P20" s="84">
        <f>O20/$O$31*100</f>
        <v>3.315451749219458</v>
      </c>
      <c r="Q20" s="90">
        <f>C5-O20</f>
        <v>-19347.880000000005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</row>
    <row r="21" spans="1:31" x14ac:dyDescent="0.2">
      <c r="A21" s="89">
        <v>3</v>
      </c>
      <c r="B21" s="88" t="s">
        <v>48</v>
      </c>
      <c r="C21" s="97">
        <v>65978.23</v>
      </c>
      <c r="D21" s="84">
        <f>C21*100/C31</f>
        <v>3.9584849740836776</v>
      </c>
      <c r="E21" s="88">
        <v>76155.520000000004</v>
      </c>
      <c r="F21" s="84">
        <f>E21*100/E31</f>
        <v>4.7023320925715932</v>
      </c>
      <c r="G21" s="88">
        <v>58862.29</v>
      </c>
      <c r="H21" s="84">
        <f>G21*100/G31</f>
        <v>3.3737752392746678</v>
      </c>
      <c r="I21" s="88">
        <v>58388.3</v>
      </c>
      <c r="J21" s="84">
        <f>I21*100/I31</f>
        <v>3.4729012994066935</v>
      </c>
      <c r="K21" s="88">
        <v>65861.929999999993</v>
      </c>
      <c r="L21" s="84">
        <f>K21*100/K31</f>
        <v>4.4048315934959037</v>
      </c>
      <c r="M21" s="218">
        <v>48432.13</v>
      </c>
      <c r="N21" s="84">
        <f>M21*100/M31</f>
        <v>2.2203825241382167</v>
      </c>
      <c r="O21" s="88">
        <f t="shared" si="1"/>
        <v>805561.59</v>
      </c>
      <c r="P21" s="84">
        <f t="shared" ref="P21:P30" si="2">O21/$O$31*100</f>
        <v>3.982418587037817</v>
      </c>
      <c r="Q21" s="87">
        <f t="shared" ref="Q21:Q31" si="3">C6-O21</f>
        <v>138.4100000000326</v>
      </c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</row>
    <row r="22" spans="1:31" x14ac:dyDescent="0.2">
      <c r="A22" s="89">
        <v>4</v>
      </c>
      <c r="B22" s="88" t="s">
        <v>47</v>
      </c>
      <c r="C22" s="97">
        <v>47192.81</v>
      </c>
      <c r="D22" s="84">
        <f>C22*100/C31</f>
        <v>2.8314192313098716</v>
      </c>
      <c r="E22" s="88">
        <v>47697.89</v>
      </c>
      <c r="F22" s="84">
        <f>E22*100/E31</f>
        <v>2.9451748066975272</v>
      </c>
      <c r="G22" s="88">
        <v>54987.360000000001</v>
      </c>
      <c r="H22" s="84">
        <f>G22*100/G31</f>
        <v>3.1516781566106635</v>
      </c>
      <c r="I22" s="88">
        <v>38689.550000000003</v>
      </c>
      <c r="J22" s="84">
        <f>I22*100/I31</f>
        <v>2.3012313848572448</v>
      </c>
      <c r="K22" s="88">
        <v>52831.42</v>
      </c>
      <c r="L22" s="84">
        <f>K22*100/K31</f>
        <v>3.5333539109050003</v>
      </c>
      <c r="M22" s="218">
        <v>49204.72</v>
      </c>
      <c r="N22" s="84">
        <f>M22*100/M31</f>
        <v>2.2558020965238197</v>
      </c>
      <c r="O22" s="88">
        <f t="shared" si="1"/>
        <v>598378.52</v>
      </c>
      <c r="P22" s="84">
        <f t="shared" si="2"/>
        <v>2.95817696587567</v>
      </c>
      <c r="Q22" s="87">
        <f t="shared" si="3"/>
        <v>54821.479999999981</v>
      </c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</row>
    <row r="23" spans="1:31" x14ac:dyDescent="0.2">
      <c r="A23" s="89">
        <v>5</v>
      </c>
      <c r="B23" s="88" t="s">
        <v>46</v>
      </c>
      <c r="C23" s="97">
        <v>63800.800000000003</v>
      </c>
      <c r="D23" s="84">
        <f>C23*100/C31</f>
        <v>3.8278460658086448</v>
      </c>
      <c r="E23" s="88">
        <v>51224.39</v>
      </c>
      <c r="F23" s="84">
        <f>E23*100/E31</f>
        <v>3.1629236202366342</v>
      </c>
      <c r="G23" s="88">
        <v>64940.5</v>
      </c>
      <c r="H23" s="84">
        <f>G23*100/G31</f>
        <v>3.7221564252107178</v>
      </c>
      <c r="I23" s="88">
        <v>55881.16</v>
      </c>
      <c r="J23" s="84">
        <f>I23*100/I31</f>
        <v>3.3237781058251969</v>
      </c>
      <c r="K23" s="88">
        <v>53364.83</v>
      </c>
      <c r="L23" s="84">
        <f>K23*100/K31</f>
        <v>3.5690282560128139</v>
      </c>
      <c r="M23" s="218">
        <v>46736.72</v>
      </c>
      <c r="N23" s="84">
        <f>M23*100/M31</f>
        <v>2.1426560492702071</v>
      </c>
      <c r="O23" s="88">
        <f t="shared" si="1"/>
        <v>746043.7</v>
      </c>
      <c r="P23" s="84">
        <f t="shared" si="2"/>
        <v>3.6881826721932769</v>
      </c>
      <c r="Q23" s="87">
        <f t="shared" si="3"/>
        <v>403856.30000000005</v>
      </c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</row>
    <row r="24" spans="1:31" x14ac:dyDescent="0.2">
      <c r="A24" s="89">
        <v>6</v>
      </c>
      <c r="B24" s="88" t="s">
        <v>45</v>
      </c>
      <c r="C24" s="97">
        <v>540627.36</v>
      </c>
      <c r="D24" s="84">
        <f>C24*100/C31</f>
        <v>32.43593047492373</v>
      </c>
      <c r="E24" s="88">
        <v>556730.18999999994</v>
      </c>
      <c r="F24" s="84">
        <f>E24*100/E31</f>
        <v>34.376106148844897</v>
      </c>
      <c r="G24" s="88">
        <v>579669.51</v>
      </c>
      <c r="H24" s="84">
        <f>G24*100/G31</f>
        <v>33.224576206608333</v>
      </c>
      <c r="I24" s="88">
        <v>551674.25</v>
      </c>
      <c r="J24" s="84">
        <f>I24*100/I31</f>
        <v>32.813255732299332</v>
      </c>
      <c r="K24" s="88">
        <v>521826.79</v>
      </c>
      <c r="L24" s="84">
        <f>K24*100/K31</f>
        <v>34.899662535315201</v>
      </c>
      <c r="M24" s="218">
        <v>942519.3</v>
      </c>
      <c r="N24" s="84">
        <f>M24*100/M31</f>
        <v>43.210021578299056</v>
      </c>
      <c r="O24" s="88">
        <f t="shared" si="1"/>
        <v>6802576.209999999</v>
      </c>
      <c r="P24" s="84">
        <f t="shared" si="2"/>
        <v>33.629589934203871</v>
      </c>
      <c r="Q24" s="87">
        <f t="shared" si="3"/>
        <v>-808476.20999999903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</row>
    <row r="25" spans="1:31" x14ac:dyDescent="0.2">
      <c r="A25" s="89">
        <v>7</v>
      </c>
      <c r="B25" s="88" t="s">
        <v>44</v>
      </c>
      <c r="C25" s="97">
        <v>380721.3</v>
      </c>
      <c r="D25" s="84">
        <f>C25*100/C31</f>
        <v>22.842072989281526</v>
      </c>
      <c r="E25" s="88">
        <v>367974.36</v>
      </c>
      <c r="F25" s="84">
        <f>E25*100/E31</f>
        <v>22.721105998245338</v>
      </c>
      <c r="G25" s="88">
        <v>461995.38</v>
      </c>
      <c r="H25" s="84">
        <f>G25*100/G31</f>
        <v>26.479917341022428</v>
      </c>
      <c r="I25" s="88">
        <v>406543.1</v>
      </c>
      <c r="J25" s="84">
        <f>I25*100/I31</f>
        <v>24.180941391594299</v>
      </c>
      <c r="K25" s="88">
        <v>374442.54</v>
      </c>
      <c r="L25" s="84">
        <f>K25*100/K31</f>
        <v>25.042635861731561</v>
      </c>
      <c r="M25" s="218">
        <v>361230.04</v>
      </c>
      <c r="N25" s="84">
        <f>M25*100/M31</f>
        <v>16.560677137465333</v>
      </c>
      <c r="O25" s="88">
        <f t="shared" si="1"/>
        <v>4843862.1899999995</v>
      </c>
      <c r="P25" s="84">
        <f t="shared" si="2"/>
        <v>23.946383563925515</v>
      </c>
      <c r="Q25" s="87">
        <f t="shared" si="3"/>
        <v>-702732.18999999948</v>
      </c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</row>
    <row r="26" spans="1:31" x14ac:dyDescent="0.2">
      <c r="A26" s="89">
        <v>8</v>
      </c>
      <c r="B26" s="88" t="s">
        <v>43</v>
      </c>
      <c r="C26" s="97">
        <v>61829.3</v>
      </c>
      <c r="D26" s="84">
        <f>C26*100/C31</f>
        <v>3.7095623057501226</v>
      </c>
      <c r="E26" s="88">
        <v>62777.05</v>
      </c>
      <c r="F26" s="84">
        <f>E26*100/E31</f>
        <v>3.8762592244392993</v>
      </c>
      <c r="G26" s="88">
        <v>58580.639999999999</v>
      </c>
      <c r="H26" s="84">
        <f>G26*100/G31</f>
        <v>3.3576320719574992</v>
      </c>
      <c r="I26" s="88">
        <v>65987.94</v>
      </c>
      <c r="J26" s="84">
        <f>I26*100/I31</f>
        <v>3.924923359151935</v>
      </c>
      <c r="K26" s="88">
        <v>57899.27</v>
      </c>
      <c r="L26" s="84">
        <f>K26*100/K31</f>
        <v>3.872290619730542</v>
      </c>
      <c r="M26" s="218">
        <v>52505.74</v>
      </c>
      <c r="N26" s="84">
        <f>M26*100/M31</f>
        <v>2.4071381438921833</v>
      </c>
      <c r="O26" s="88">
        <f t="shared" si="1"/>
        <v>681491.5</v>
      </c>
      <c r="P26" s="84">
        <f t="shared" si="2"/>
        <v>3.3690588655155249</v>
      </c>
      <c r="Q26" s="87">
        <f t="shared" si="3"/>
        <v>28008.5</v>
      </c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</row>
    <row r="27" spans="1:31" x14ac:dyDescent="0.2">
      <c r="A27" s="89">
        <v>9</v>
      </c>
      <c r="B27" s="88" t="s">
        <v>42</v>
      </c>
      <c r="C27" s="97">
        <v>332029.46999999997</v>
      </c>
      <c r="D27" s="84">
        <f>C27*100/C31</f>
        <v>19.920717302479424</v>
      </c>
      <c r="E27" s="88">
        <v>219306.09</v>
      </c>
      <c r="F27" s="84">
        <f>E27*100/E31</f>
        <v>13.541369884985279</v>
      </c>
      <c r="G27" s="88">
        <v>249919.47</v>
      </c>
      <c r="H27" s="84">
        <f>G27*100/G31</f>
        <v>14.324487200525978</v>
      </c>
      <c r="I27" s="88">
        <v>263118.15999999997</v>
      </c>
      <c r="J27" s="84">
        <f>I27*100/I31</f>
        <v>15.650111405221562</v>
      </c>
      <c r="K27" s="88">
        <v>134650.82</v>
      </c>
      <c r="L27" s="84">
        <f>K27*100/K31</f>
        <v>9.0054176369585601</v>
      </c>
      <c r="M27" s="218">
        <v>153564.25</v>
      </c>
      <c r="N27" s="84">
        <f>M27*100/M31</f>
        <v>7.0401895814285291</v>
      </c>
      <c r="O27" s="88">
        <f t="shared" si="1"/>
        <v>2856876.8800000004</v>
      </c>
      <c r="P27" s="84">
        <f t="shared" si="2"/>
        <v>14.12341368931283</v>
      </c>
      <c r="Q27" s="87">
        <f t="shared" si="3"/>
        <v>869023.11999999965</v>
      </c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</row>
    <row r="28" spans="1:31" x14ac:dyDescent="0.2">
      <c r="A28" s="89">
        <v>10</v>
      </c>
      <c r="B28" s="88" t="s">
        <v>41</v>
      </c>
      <c r="C28" s="97">
        <v>110869.51</v>
      </c>
      <c r="D28" s="84">
        <f>C28*100/C31</f>
        <v>6.6518196899040793</v>
      </c>
      <c r="E28" s="88">
        <v>166701.09</v>
      </c>
      <c r="F28" s="84">
        <f>E28*100/E31</f>
        <v>10.293198515008045</v>
      </c>
      <c r="G28" s="88">
        <v>156446.56</v>
      </c>
      <c r="H28" s="84">
        <f>G28*100/G31</f>
        <v>8.9669554208254336</v>
      </c>
      <c r="I28" s="88">
        <v>175435.18</v>
      </c>
      <c r="J28" s="84">
        <f>I28*100/I31</f>
        <v>10.434779991601864</v>
      </c>
      <c r="K28" s="88">
        <v>173092.75</v>
      </c>
      <c r="L28" s="84">
        <f>K28*100/K31</f>
        <v>11.576405577624101</v>
      </c>
      <c r="M28" s="218">
        <v>459053.88</v>
      </c>
      <c r="N28" s="84">
        <f>M28*100/M31</f>
        <v>21.045434359171111</v>
      </c>
      <c r="O28" s="88">
        <f t="shared" si="1"/>
        <v>2111539.11</v>
      </c>
      <c r="P28" s="84">
        <f t="shared" si="2"/>
        <v>10.43872089149793</v>
      </c>
      <c r="Q28" s="87">
        <f t="shared" si="3"/>
        <v>6348.8900000001304</v>
      </c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</row>
    <row r="29" spans="1:31" x14ac:dyDescent="0.25">
      <c r="A29" s="89">
        <v>11</v>
      </c>
      <c r="B29" s="88" t="s">
        <v>40</v>
      </c>
      <c r="C29" s="88">
        <v>0</v>
      </c>
      <c r="D29" s="84">
        <f>C29*100/C31</f>
        <v>0</v>
      </c>
      <c r="E29" s="88">
        <v>0</v>
      </c>
      <c r="F29" s="84">
        <f>E29*100/E31</f>
        <v>0</v>
      </c>
      <c r="G29" s="88">
        <v>0</v>
      </c>
      <c r="H29" s="84">
        <f>G29*100/G31</f>
        <v>0</v>
      </c>
      <c r="I29" s="88">
        <v>0</v>
      </c>
      <c r="J29" s="84">
        <f>I29*100/I31</f>
        <v>0</v>
      </c>
      <c r="K29" s="88">
        <v>0</v>
      </c>
      <c r="L29" s="84">
        <f>K29*100/K31</f>
        <v>0</v>
      </c>
      <c r="M29" s="88">
        <v>0</v>
      </c>
      <c r="N29" s="84">
        <f>M29*100/M31</f>
        <v>0</v>
      </c>
      <c r="O29" s="88">
        <f t="shared" si="1"/>
        <v>0</v>
      </c>
      <c r="P29" s="84">
        <f t="shared" si="2"/>
        <v>0</v>
      </c>
      <c r="Q29" s="87">
        <f t="shared" si="3"/>
        <v>40000</v>
      </c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</row>
    <row r="30" spans="1:31" ht="13.5" thickBot="1" x14ac:dyDescent="0.25">
      <c r="A30" s="86">
        <v>12</v>
      </c>
      <c r="B30" s="85" t="s">
        <v>39</v>
      </c>
      <c r="C30" s="97">
        <v>8553.18</v>
      </c>
      <c r="D30" s="84">
        <f>C30*100/C31</f>
        <v>0.5131637285606635</v>
      </c>
      <c r="E30" s="85">
        <v>8553.18</v>
      </c>
      <c r="F30" s="84">
        <f>E30*100/E31</f>
        <v>0.52812839840817183</v>
      </c>
      <c r="G30" s="85">
        <v>8319.2000000000007</v>
      </c>
      <c r="H30" s="84">
        <f>G30*100/G31</f>
        <v>0.4768266910881962</v>
      </c>
      <c r="I30" s="85">
        <v>8877.58</v>
      </c>
      <c r="J30" s="84">
        <f>I30*100/I31</f>
        <v>0.528033169617661</v>
      </c>
      <c r="K30" s="85">
        <v>8653.18</v>
      </c>
      <c r="L30" s="84">
        <f>K30*100/K31</f>
        <v>0.5787228015973247</v>
      </c>
      <c r="M30" s="218">
        <v>14089.47</v>
      </c>
      <c r="N30" s="84">
        <f>M30*100/M31</f>
        <v>0.64593510469949755</v>
      </c>
      <c r="O30" s="85">
        <f t="shared" si="1"/>
        <v>110971.15</v>
      </c>
      <c r="P30" s="84">
        <f t="shared" si="2"/>
        <v>0.5486030812181123</v>
      </c>
      <c r="Q30" s="83">
        <f t="shared" si="3"/>
        <v>56178.850000000006</v>
      </c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</row>
    <row r="31" spans="1:31" ht="13.5" thickBot="1" x14ac:dyDescent="0.3">
      <c r="A31" s="358" t="s">
        <v>38</v>
      </c>
      <c r="B31" s="359"/>
      <c r="C31" s="82">
        <f t="shared" ref="C31:N31" si="4">SUM(C20:C30)</f>
        <v>1666754.5899999999</v>
      </c>
      <c r="D31" s="82">
        <f t="shared" si="4"/>
        <v>100.00000000000003</v>
      </c>
      <c r="E31" s="82">
        <f t="shared" si="4"/>
        <v>1619526.62</v>
      </c>
      <c r="F31" s="82">
        <f t="shared" si="4"/>
        <v>99.999999999999972</v>
      </c>
      <c r="G31" s="82">
        <f t="shared" si="4"/>
        <v>1744700.99</v>
      </c>
      <c r="H31" s="82">
        <f t="shared" si="4"/>
        <v>99.999999999999986</v>
      </c>
      <c r="I31" s="82">
        <f t="shared" si="4"/>
        <v>1681254.23</v>
      </c>
      <c r="J31" s="82">
        <f t="shared" si="4"/>
        <v>100</v>
      </c>
      <c r="K31" s="82">
        <f t="shared" si="4"/>
        <v>1495220.16</v>
      </c>
      <c r="L31" s="82">
        <f t="shared" si="4"/>
        <v>100</v>
      </c>
      <c r="M31" s="345">
        <f t="shared" si="4"/>
        <v>2181251.6300000004</v>
      </c>
      <c r="N31" s="82">
        <f t="shared" si="4"/>
        <v>100</v>
      </c>
      <c r="O31" s="82">
        <f>O16+M16+K16+I16+G16+E16+C31+E31+G31+I31+K31+M31</f>
        <v>20227948.729999997</v>
      </c>
      <c r="P31" s="82">
        <f>SUM(P20:P30)</f>
        <v>100</v>
      </c>
      <c r="Q31" s="81">
        <f t="shared" si="3"/>
        <v>-72180.729999996722</v>
      </c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</row>
    <row r="32" spans="1:31" x14ac:dyDescent="0.25">
      <c r="A32" s="80"/>
      <c r="B32" s="79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</row>
    <row r="33" spans="1:2" s="76" customFormat="1" ht="15.75" x14ac:dyDescent="0.25">
      <c r="B33" s="77" t="s">
        <v>37</v>
      </c>
    </row>
    <row r="34" spans="1:2" x14ac:dyDescent="0.25">
      <c r="A34" s="75" t="s">
        <v>33</v>
      </c>
      <c r="B34" s="73" t="s">
        <v>36</v>
      </c>
    </row>
    <row r="35" spans="1:2" x14ac:dyDescent="0.25">
      <c r="A35" s="75" t="s">
        <v>33</v>
      </c>
      <c r="B35" s="73" t="s">
        <v>35</v>
      </c>
    </row>
    <row r="36" spans="1:2" x14ac:dyDescent="0.25">
      <c r="A36" s="75" t="s">
        <v>33</v>
      </c>
      <c r="B36" s="73" t="s">
        <v>34</v>
      </c>
    </row>
    <row r="37" spans="1:2" x14ac:dyDescent="0.25">
      <c r="A37" s="75"/>
      <c r="B37" s="73" t="s">
        <v>282</v>
      </c>
    </row>
    <row r="38" spans="1:2" x14ac:dyDescent="0.25">
      <c r="A38" s="75" t="s">
        <v>33</v>
      </c>
      <c r="B38" s="73" t="s">
        <v>32</v>
      </c>
    </row>
    <row r="39" spans="1:2" x14ac:dyDescent="0.25">
      <c r="A39" s="75"/>
      <c r="B39" s="73" t="s">
        <v>283</v>
      </c>
    </row>
    <row r="40" spans="1:2" x14ac:dyDescent="0.25">
      <c r="A40" s="73"/>
    </row>
  </sheetData>
  <mergeCells count="4">
    <mergeCell ref="A1:B1"/>
    <mergeCell ref="A2:P2"/>
    <mergeCell ref="A16:B16"/>
    <mergeCell ref="A31:B3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85"/>
  <sheetViews>
    <sheetView topLeftCell="F1" workbookViewId="0">
      <selection activeCell="P11" sqref="P11"/>
    </sheetView>
  </sheetViews>
  <sheetFormatPr defaultRowHeight="12.75" x14ac:dyDescent="0.25"/>
  <cols>
    <col min="1" max="1" width="3.42578125" style="106" bestFit="1" customWidth="1"/>
    <col min="2" max="2" width="30.42578125" style="107" bestFit="1" customWidth="1"/>
    <col min="3" max="3" width="13.28515625" style="108" bestFit="1" customWidth="1"/>
    <col min="4" max="4" width="13.140625" style="106" bestFit="1" customWidth="1"/>
    <col min="5" max="5" width="13.28515625" style="108" bestFit="1" customWidth="1"/>
    <col min="6" max="6" width="13.140625" style="106" bestFit="1" customWidth="1"/>
    <col min="7" max="7" width="14.28515625" style="106" bestFit="1" customWidth="1"/>
    <col min="8" max="8" width="13.28515625" style="108" bestFit="1" customWidth="1"/>
    <col min="9" max="9" width="13.140625" style="106" bestFit="1" customWidth="1"/>
    <col min="10" max="10" width="14.28515625" style="106" bestFit="1" customWidth="1"/>
    <col min="11" max="11" width="14.7109375" style="108" bestFit="1" customWidth="1"/>
    <col min="12" max="12" width="13.140625" style="106" bestFit="1" customWidth="1"/>
    <col min="13" max="13" width="14.28515625" style="106" bestFit="1" customWidth="1"/>
    <col min="14" max="14" width="15.7109375" style="106" bestFit="1" customWidth="1"/>
    <col min="15" max="15" width="13.140625" style="106" bestFit="1" customWidth="1"/>
    <col min="16" max="16" width="14.28515625" style="106" bestFit="1" customWidth="1"/>
    <col min="17" max="17" width="14.28515625" style="106" customWidth="1"/>
    <col min="18" max="18" width="6.85546875" style="106" bestFit="1" customWidth="1"/>
    <col min="19" max="19" width="13.140625" style="106" bestFit="1" customWidth="1"/>
    <col min="20" max="16384" width="9.140625" style="106"/>
  </cols>
  <sheetData>
    <row r="1" spans="1:19" ht="16.5" thickBot="1" x14ac:dyDescent="0.3">
      <c r="B1" s="354" t="s">
        <v>272</v>
      </c>
      <c r="C1" s="355"/>
      <c r="D1" s="311">
        <v>43781</v>
      </c>
    </row>
    <row r="2" spans="1:19" ht="16.5" thickBot="1" x14ac:dyDescent="0.3">
      <c r="B2" s="305"/>
      <c r="C2" s="305"/>
      <c r="D2" s="306"/>
    </row>
    <row r="3" spans="1:19" ht="13.5" thickBot="1" x14ac:dyDescent="0.3">
      <c r="C3" s="106"/>
      <c r="D3" s="109">
        <v>2014</v>
      </c>
      <c r="E3" s="106"/>
      <c r="F3" s="110">
        <v>2015</v>
      </c>
      <c r="G3" s="110" t="s">
        <v>286</v>
      </c>
      <c r="H3" s="106"/>
      <c r="I3" s="111">
        <v>2016</v>
      </c>
      <c r="J3" s="111" t="s">
        <v>289</v>
      </c>
      <c r="K3" s="106"/>
      <c r="L3" s="112">
        <v>2017</v>
      </c>
      <c r="M3" s="112" t="s">
        <v>287</v>
      </c>
      <c r="O3" s="112">
        <v>2018</v>
      </c>
      <c r="P3" s="112" t="s">
        <v>288</v>
      </c>
      <c r="Q3" s="112" t="s">
        <v>290</v>
      </c>
      <c r="S3" s="112">
        <v>2019</v>
      </c>
    </row>
    <row r="4" spans="1:19" ht="13.5" thickBot="1" x14ac:dyDescent="0.3">
      <c r="B4" s="113" t="s">
        <v>133</v>
      </c>
      <c r="C4" s="114">
        <v>2014</v>
      </c>
      <c r="D4" s="109" t="s">
        <v>132</v>
      </c>
      <c r="E4" s="115">
        <v>2015</v>
      </c>
      <c r="F4" s="110" t="s">
        <v>132</v>
      </c>
      <c r="G4" s="110" t="s">
        <v>284</v>
      </c>
      <c r="H4" s="116">
        <v>2016</v>
      </c>
      <c r="I4" s="111" t="s">
        <v>132</v>
      </c>
      <c r="J4" s="116" t="s">
        <v>284</v>
      </c>
      <c r="K4" s="117">
        <v>2017</v>
      </c>
      <c r="L4" s="112" t="s">
        <v>132</v>
      </c>
      <c r="M4" s="112" t="s">
        <v>284</v>
      </c>
      <c r="N4" s="117">
        <v>2018</v>
      </c>
      <c r="O4" s="112" t="s">
        <v>132</v>
      </c>
      <c r="P4" s="112" t="s">
        <v>284</v>
      </c>
      <c r="Q4" s="117" t="s">
        <v>284</v>
      </c>
      <c r="R4" s="117">
        <v>2019</v>
      </c>
      <c r="S4" s="112" t="s">
        <v>132</v>
      </c>
    </row>
    <row r="5" spans="1:19" x14ac:dyDescent="0.25">
      <c r="N5" s="108"/>
      <c r="R5" s="108"/>
    </row>
    <row r="6" spans="1:19" x14ac:dyDescent="0.25">
      <c r="A6" s="106" t="s">
        <v>131</v>
      </c>
      <c r="B6" s="118" t="s">
        <v>130</v>
      </c>
      <c r="C6" s="224">
        <v>900060.31</v>
      </c>
      <c r="D6" s="119">
        <f>C6/$C$25</f>
        <v>5.0457285572723193E-2</v>
      </c>
      <c r="E6" s="226">
        <v>1094318.3899999999</v>
      </c>
      <c r="F6" s="120">
        <f t="shared" ref="F6:F11" si="0">E6/$E$25</f>
        <v>5.8609382353071303E-2</v>
      </c>
      <c r="G6" s="327">
        <f>(E6-C6)/C6*100</f>
        <v>21.582784824719113</v>
      </c>
      <c r="H6" s="228">
        <v>1452688.37</v>
      </c>
      <c r="I6" s="121">
        <f t="shared" ref="I6:I11" si="1">H6/$H$25</f>
        <v>6.5988282012594254E-2</v>
      </c>
      <c r="J6" s="328">
        <f>(H6-E6)/E6*100</f>
        <v>32.748237009888889</v>
      </c>
      <c r="K6" s="122">
        <v>1388802.4</v>
      </c>
      <c r="L6" s="123">
        <f>K6/$K$25</f>
        <v>6.1529628474989523E-2</v>
      </c>
      <c r="M6" s="329">
        <f>(K6-H6)/H6*100</f>
        <v>-4.397775277845736</v>
      </c>
      <c r="N6" s="280">
        <v>1488842.61</v>
      </c>
      <c r="O6" s="123">
        <f>N6/$N$25</f>
        <v>6.6994446122724982E-2</v>
      </c>
      <c r="P6" s="329">
        <f>(N6-K6)/K6*100</f>
        <v>7.2033436866180676</v>
      </c>
      <c r="Q6" s="329">
        <f>(N6-C6)/C6*100</f>
        <v>65.415871965290862</v>
      </c>
      <c r="R6" s="122"/>
      <c r="S6" s="123">
        <f t="shared" ref="S6:S11" si="2">R6/$K$25</f>
        <v>0</v>
      </c>
    </row>
    <row r="7" spans="1:19" x14ac:dyDescent="0.25">
      <c r="A7" s="106" t="s">
        <v>129</v>
      </c>
      <c r="B7" s="118" t="s">
        <v>128</v>
      </c>
      <c r="C7" s="224">
        <v>1655214.38</v>
      </c>
      <c r="D7" s="119">
        <f t="shared" ref="D7:D11" si="3">C7/$C$25</f>
        <v>9.2791142691024731E-2</v>
      </c>
      <c r="E7" s="226">
        <v>1654625.39</v>
      </c>
      <c r="F7" s="120">
        <f t="shared" si="0"/>
        <v>8.8618242204272682E-2</v>
      </c>
      <c r="G7" s="327">
        <f t="shared" ref="G7:G11" si="4">(E7-C7)/C7*100</f>
        <v>-3.5583910284780799E-2</v>
      </c>
      <c r="H7" s="228">
        <v>1859340.75</v>
      </c>
      <c r="I7" s="121">
        <f t="shared" si="1"/>
        <v>8.4460441965614752E-2</v>
      </c>
      <c r="J7" s="328">
        <f t="shared" ref="J7:J11" si="5">(H7-E7)/E7*100</f>
        <v>12.37230863476597</v>
      </c>
      <c r="K7" s="122">
        <v>845743</v>
      </c>
      <c r="L7" s="123">
        <f t="shared" ref="L7:L11" si="6">K7/$K$25</f>
        <v>3.7469875178299708E-2</v>
      </c>
      <c r="M7" s="329">
        <f t="shared" ref="M7:M11" si="7">(K7-H7)/H7*100</f>
        <v>-54.51382432187323</v>
      </c>
      <c r="N7" s="280">
        <v>795208.42</v>
      </c>
      <c r="O7" s="123">
        <f t="shared" ref="O7:O11" si="8">N7/$N$25</f>
        <v>3.578252482310891E-2</v>
      </c>
      <c r="P7" s="329">
        <f t="shared" ref="P7:P11" si="9">(N7-K7)/K7*100</f>
        <v>-5.9751697619726043</v>
      </c>
      <c r="Q7" s="329">
        <f t="shared" ref="Q7:Q11" si="10">(N7-C7)/C7*100</f>
        <v>-51.957376059045593</v>
      </c>
      <c r="R7" s="122"/>
      <c r="S7" s="123">
        <f t="shared" si="2"/>
        <v>0</v>
      </c>
    </row>
    <row r="8" spans="1:19" x14ac:dyDescent="0.25">
      <c r="A8" s="106" t="s">
        <v>127</v>
      </c>
      <c r="B8" s="118" t="s">
        <v>126</v>
      </c>
      <c r="C8" s="224">
        <v>1519570.98</v>
      </c>
      <c r="D8" s="119">
        <f t="shared" si="3"/>
        <v>8.5186988065147365E-2</v>
      </c>
      <c r="E8" s="226">
        <v>1767333.53</v>
      </c>
      <c r="F8" s="120">
        <f t="shared" si="0"/>
        <v>9.4654652203343875E-2</v>
      </c>
      <c r="G8" s="327">
        <f t="shared" si="4"/>
        <v>16.304769784429553</v>
      </c>
      <c r="H8" s="228">
        <v>2416119.83</v>
      </c>
      <c r="I8" s="121">
        <f t="shared" si="1"/>
        <v>0.10975209825508637</v>
      </c>
      <c r="J8" s="328">
        <f t="shared" si="5"/>
        <v>36.709895952689813</v>
      </c>
      <c r="K8" s="122">
        <v>2024597.66</v>
      </c>
      <c r="L8" s="123">
        <f t="shared" si="6"/>
        <v>8.9697959789767898E-2</v>
      </c>
      <c r="M8" s="329">
        <f t="shared" si="7"/>
        <v>-16.204584107899986</v>
      </c>
      <c r="N8" s="280">
        <v>1402299.36</v>
      </c>
      <c r="O8" s="123">
        <f t="shared" si="8"/>
        <v>6.3100201653586291E-2</v>
      </c>
      <c r="P8" s="329">
        <f t="shared" si="9"/>
        <v>-30.73688724899543</v>
      </c>
      <c r="Q8" s="329">
        <f t="shared" si="10"/>
        <v>-7.7174163986732545</v>
      </c>
      <c r="R8" s="122"/>
      <c r="S8" s="123">
        <f t="shared" si="2"/>
        <v>0</v>
      </c>
    </row>
    <row r="9" spans="1:19" x14ac:dyDescent="0.25">
      <c r="A9" s="106" t="s">
        <v>125</v>
      </c>
      <c r="B9" s="118" t="s">
        <v>124</v>
      </c>
      <c r="C9" s="224">
        <v>281995.28000000003</v>
      </c>
      <c r="D9" s="119">
        <f t="shared" si="3"/>
        <v>1.5808625505462002E-2</v>
      </c>
      <c r="E9" s="226">
        <v>260926.95</v>
      </c>
      <c r="F9" s="120">
        <f t="shared" si="0"/>
        <v>1.3974696503794222E-2</v>
      </c>
      <c r="G9" s="327">
        <f t="shared" si="4"/>
        <v>-7.4711640563629347</v>
      </c>
      <c r="H9" s="228">
        <v>234661.47</v>
      </c>
      <c r="I9" s="121">
        <f t="shared" si="1"/>
        <v>1.0659483189674E-2</v>
      </c>
      <c r="J9" s="328">
        <f t="shared" si="5"/>
        <v>-10.066219683325164</v>
      </c>
      <c r="K9" s="122">
        <v>262385.71999999997</v>
      </c>
      <c r="L9" s="123">
        <f t="shared" si="6"/>
        <v>1.1624760922606864E-2</v>
      </c>
      <c r="M9" s="329">
        <f t="shared" si="7"/>
        <v>11.814572711915583</v>
      </c>
      <c r="N9" s="280">
        <v>304654.34000000003</v>
      </c>
      <c r="O9" s="123">
        <f t="shared" si="8"/>
        <v>1.3708734979840709E-2</v>
      </c>
      <c r="P9" s="329">
        <f t="shared" si="9"/>
        <v>16.109344670129175</v>
      </c>
      <c r="Q9" s="329">
        <f t="shared" si="10"/>
        <v>8.0352621504870569</v>
      </c>
      <c r="R9" s="122"/>
      <c r="S9" s="123">
        <f t="shared" si="2"/>
        <v>0</v>
      </c>
    </row>
    <row r="10" spans="1:19" x14ac:dyDescent="0.25">
      <c r="A10" s="106" t="s">
        <v>110</v>
      </c>
      <c r="B10" s="118" t="s">
        <v>123</v>
      </c>
      <c r="C10" s="224">
        <v>15363949.5</v>
      </c>
      <c r="D10" s="119">
        <f t="shared" si="3"/>
        <v>0.86130138040016191</v>
      </c>
      <c r="E10" s="226">
        <v>15972600.699999999</v>
      </c>
      <c r="F10" s="120">
        <f t="shared" si="0"/>
        <v>0.85545876789956388</v>
      </c>
      <c r="G10" s="327">
        <f t="shared" si="4"/>
        <v>3.9615542865459124</v>
      </c>
      <c r="H10" s="228">
        <v>18070427.890000001</v>
      </c>
      <c r="I10" s="121">
        <f t="shared" si="1"/>
        <v>0.82084810226268168</v>
      </c>
      <c r="J10" s="328">
        <f t="shared" si="5"/>
        <v>13.133911185797073</v>
      </c>
      <c r="K10" s="122">
        <v>18547603.870000001</v>
      </c>
      <c r="L10" s="123">
        <f t="shared" si="6"/>
        <v>0.8217347372256687</v>
      </c>
      <c r="M10" s="329">
        <f t="shared" si="7"/>
        <v>2.6406457163311834</v>
      </c>
      <c r="N10" s="280">
        <v>16756671.880000001</v>
      </c>
      <c r="O10" s="123">
        <f t="shared" si="8"/>
        <v>0.75401116539836321</v>
      </c>
      <c r="P10" s="329">
        <f t="shared" si="9"/>
        <v>-9.6558671543377113</v>
      </c>
      <c r="Q10" s="329">
        <f t="shared" si="10"/>
        <v>9.0648721541293842</v>
      </c>
      <c r="R10" s="122"/>
      <c r="S10" s="123">
        <f t="shared" si="2"/>
        <v>0</v>
      </c>
    </row>
    <row r="11" spans="1:19" x14ac:dyDescent="0.25">
      <c r="A11" s="106" t="s">
        <v>122</v>
      </c>
      <c r="B11" s="118" t="s">
        <v>121</v>
      </c>
      <c r="C11" s="224">
        <v>226991.51</v>
      </c>
      <c r="D11" s="119">
        <f t="shared" si="3"/>
        <v>1.2725119989630086E-2</v>
      </c>
      <c r="E11" s="226">
        <v>155760.13</v>
      </c>
      <c r="F11" s="120">
        <f t="shared" si="0"/>
        <v>8.3421836806873845E-3</v>
      </c>
      <c r="G11" s="327">
        <f t="shared" si="4"/>
        <v>-31.380636218508791</v>
      </c>
      <c r="H11" s="228">
        <v>414092.79999999999</v>
      </c>
      <c r="I11" s="121">
        <f t="shared" si="1"/>
        <v>1.8810140584924476E-2</v>
      </c>
      <c r="J11" s="328">
        <f t="shared" si="5"/>
        <v>165.85288545919934</v>
      </c>
      <c r="K11" s="122">
        <v>729057.64</v>
      </c>
      <c r="L11" s="123">
        <f t="shared" si="6"/>
        <v>3.230023632307423E-2</v>
      </c>
      <c r="M11" s="329">
        <f t="shared" si="7"/>
        <v>76.061414253037015</v>
      </c>
      <c r="N11" s="280">
        <v>750585.21</v>
      </c>
      <c r="O11" s="123">
        <f t="shared" si="8"/>
        <v>3.3774584414842351E-2</v>
      </c>
      <c r="P11" s="329">
        <f t="shared" si="9"/>
        <v>2.9527939656458368</v>
      </c>
      <c r="Q11" s="329">
        <f t="shared" si="10"/>
        <v>230.66664475688978</v>
      </c>
      <c r="R11" s="122"/>
      <c r="S11" s="123">
        <f t="shared" si="2"/>
        <v>0</v>
      </c>
    </row>
    <row r="12" spans="1:19" ht="13.5" thickBot="1" x14ac:dyDescent="0.3">
      <c r="B12" s="124" t="s">
        <v>120</v>
      </c>
      <c r="C12" s="237">
        <f>SUM(C6:C11)</f>
        <v>19947781.960000001</v>
      </c>
      <c r="D12" s="125"/>
      <c r="E12" s="240">
        <f>SUM(E6:E11)</f>
        <v>20905565.09</v>
      </c>
      <c r="F12" s="126"/>
      <c r="G12" s="126"/>
      <c r="H12" s="243">
        <f>SUM(H6:H11)</f>
        <v>24447331.110000003</v>
      </c>
      <c r="I12" s="126"/>
      <c r="J12" s="126"/>
      <c r="K12" s="236">
        <f>SUM(K6:K11)</f>
        <v>23798190.289999999</v>
      </c>
      <c r="L12" s="126"/>
      <c r="M12" s="126"/>
      <c r="N12" s="235">
        <f>SUM(N6:N11)</f>
        <v>21498261.82</v>
      </c>
      <c r="O12" s="126"/>
      <c r="P12" s="126"/>
      <c r="Q12" s="126"/>
      <c r="R12" s="236">
        <f>SUM(R6:R11)</f>
        <v>0</v>
      </c>
      <c r="S12" s="126"/>
    </row>
    <row r="13" spans="1:19" x14ac:dyDescent="0.25">
      <c r="C13" s="127"/>
      <c r="D13" s="128"/>
      <c r="E13" s="127"/>
      <c r="F13" s="128"/>
      <c r="G13" s="128"/>
      <c r="H13" s="127"/>
      <c r="I13" s="128"/>
      <c r="J13" s="128"/>
      <c r="K13" s="129"/>
      <c r="L13" s="126"/>
      <c r="M13" s="126"/>
      <c r="N13" s="129"/>
      <c r="O13" s="126"/>
      <c r="P13" s="126"/>
      <c r="Q13" s="126"/>
      <c r="R13" s="129"/>
      <c r="S13" s="126"/>
    </row>
    <row r="14" spans="1:19" x14ac:dyDescent="0.25">
      <c r="A14" s="106" t="s">
        <v>119</v>
      </c>
      <c r="B14" s="118" t="s">
        <v>118</v>
      </c>
      <c r="C14" s="219">
        <v>0</v>
      </c>
      <c r="D14" s="119">
        <f>C14/$C$25</f>
        <v>0</v>
      </c>
      <c r="E14" s="225">
        <v>0</v>
      </c>
      <c r="F14" s="120">
        <f>E14/$E$25</f>
        <v>0</v>
      </c>
      <c r="G14" s="120"/>
      <c r="H14" s="227">
        <v>0</v>
      </c>
      <c r="I14" s="121">
        <f>H14/$H$25</f>
        <v>0</v>
      </c>
      <c r="J14" s="121"/>
      <c r="K14" s="122">
        <v>0</v>
      </c>
      <c r="L14" s="123">
        <v>0</v>
      </c>
      <c r="M14" s="123"/>
      <c r="N14" s="122"/>
      <c r="O14" s="123">
        <f>N14/$N$25</f>
        <v>0</v>
      </c>
      <c r="P14" s="329"/>
      <c r="Q14" s="123"/>
      <c r="R14" s="122"/>
      <c r="S14" s="123">
        <f>R14/$K$25</f>
        <v>0</v>
      </c>
    </row>
    <row r="15" spans="1:19" x14ac:dyDescent="0.25">
      <c r="A15" s="106" t="s">
        <v>117</v>
      </c>
      <c r="B15" s="118" t="s">
        <v>116</v>
      </c>
      <c r="C15" s="219">
        <v>0</v>
      </c>
      <c r="D15" s="119">
        <f>C15/$C$25</f>
        <v>0</v>
      </c>
      <c r="E15" s="225">
        <v>0</v>
      </c>
      <c r="F15" s="120">
        <f>E15/$E$25</f>
        <v>0</v>
      </c>
      <c r="G15" s="120"/>
      <c r="H15" s="227">
        <v>0</v>
      </c>
      <c r="I15" s="121">
        <f>H15/$H$25</f>
        <v>0</v>
      </c>
      <c r="J15" s="121"/>
      <c r="K15" s="122">
        <v>0</v>
      </c>
      <c r="L15" s="123">
        <f>K15/$K$25</f>
        <v>0</v>
      </c>
      <c r="M15" s="123"/>
      <c r="N15" s="122"/>
      <c r="O15" s="123">
        <f t="shared" ref="O15:O19" si="11">N15/$N$25</f>
        <v>0</v>
      </c>
      <c r="P15" s="123"/>
      <c r="Q15" s="123"/>
      <c r="R15" s="122"/>
      <c r="S15" s="123">
        <f>R15/$K$25</f>
        <v>0</v>
      </c>
    </row>
    <row r="16" spans="1:19" x14ac:dyDescent="0.25">
      <c r="A16" s="106" t="s">
        <v>115</v>
      </c>
      <c r="B16" s="118" t="s">
        <v>114</v>
      </c>
      <c r="C16" s="219">
        <v>0</v>
      </c>
      <c r="D16" s="119">
        <f>C16/$C$25</f>
        <v>0</v>
      </c>
      <c r="E16" s="225">
        <v>0</v>
      </c>
      <c r="F16" s="120">
        <f>E16/$E$25</f>
        <v>0</v>
      </c>
      <c r="G16" s="120"/>
      <c r="H16" s="227">
        <v>0</v>
      </c>
      <c r="I16" s="121">
        <f>H16/$H$25</f>
        <v>0</v>
      </c>
      <c r="J16" s="121"/>
      <c r="K16" s="122">
        <v>0</v>
      </c>
      <c r="L16" s="123">
        <f>K16/$K$25</f>
        <v>0</v>
      </c>
      <c r="M16" s="123"/>
      <c r="N16" s="122">
        <v>1684661.87</v>
      </c>
      <c r="O16" s="123">
        <f t="shared" si="11"/>
        <v>7.5805856258187101E-2</v>
      </c>
      <c r="P16" s="123"/>
      <c r="Q16" s="123"/>
      <c r="R16" s="122"/>
      <c r="S16" s="123">
        <f>R16/$K$25</f>
        <v>0</v>
      </c>
    </row>
    <row r="17" spans="1:19" x14ac:dyDescent="0.25">
      <c r="A17" s="106" t="s">
        <v>113</v>
      </c>
      <c r="B17" s="118" t="s">
        <v>112</v>
      </c>
      <c r="C17" s="219">
        <v>0</v>
      </c>
      <c r="D17" s="119">
        <f>C17/$C$25</f>
        <v>0</v>
      </c>
      <c r="E17" s="226">
        <v>3390</v>
      </c>
      <c r="F17" s="120">
        <f>E17/$E$25</f>
        <v>1.8156124213256777E-4</v>
      </c>
      <c r="G17" s="120"/>
      <c r="H17" s="227">
        <v>0</v>
      </c>
      <c r="I17" s="121">
        <f>H17/$H$25</f>
        <v>0</v>
      </c>
      <c r="J17" s="121"/>
      <c r="K17" s="122">
        <v>0</v>
      </c>
      <c r="L17" s="123">
        <f>K17/$K$25</f>
        <v>0</v>
      </c>
      <c r="M17" s="123"/>
      <c r="N17" s="122">
        <v>1994687.9</v>
      </c>
      <c r="O17" s="123">
        <f t="shared" si="11"/>
        <v>8.9756304763605216E-2</v>
      </c>
      <c r="P17" s="123"/>
      <c r="Q17" s="123"/>
      <c r="R17" s="122"/>
      <c r="S17" s="123">
        <f>R17/$K$25</f>
        <v>0</v>
      </c>
    </row>
    <row r="18" spans="1:19" x14ac:dyDescent="0.25">
      <c r="B18" s="132"/>
      <c r="C18" s="220"/>
      <c r="D18" s="221"/>
      <c r="E18" s="220"/>
      <c r="F18" s="221"/>
      <c r="G18" s="221"/>
      <c r="H18" s="220"/>
      <c r="I18" s="221"/>
      <c r="J18" s="221"/>
      <c r="K18" s="222"/>
      <c r="L18" s="221"/>
      <c r="M18" s="221"/>
      <c r="N18" s="222"/>
      <c r="O18" s="221"/>
      <c r="P18" s="221"/>
      <c r="Q18" s="221"/>
      <c r="R18" s="222"/>
      <c r="S18" s="221"/>
    </row>
    <row r="19" spans="1:19" x14ac:dyDescent="0.25">
      <c r="A19" s="106" t="s">
        <v>200</v>
      </c>
      <c r="B19" s="132" t="s">
        <v>201</v>
      </c>
      <c r="C19" s="219"/>
      <c r="D19" s="229"/>
      <c r="E19" s="225"/>
      <c r="F19" s="230"/>
      <c r="G19" s="230"/>
      <c r="H19" s="228">
        <v>169736.61</v>
      </c>
      <c r="I19" s="121"/>
      <c r="J19" s="121"/>
      <c r="K19" s="122">
        <v>1462655.16</v>
      </c>
      <c r="L19" s="123">
        <f>K19/$K$25</f>
        <v>6.4801607904642414E-2</v>
      </c>
      <c r="M19" s="123"/>
      <c r="N19" s="122">
        <v>1443886.44</v>
      </c>
      <c r="O19" s="123">
        <f t="shared" si="11"/>
        <v>6.4971523290774949E-2</v>
      </c>
      <c r="P19" s="123"/>
      <c r="Q19" s="123"/>
      <c r="R19" s="122"/>
      <c r="S19" s="123"/>
    </row>
    <row r="20" spans="1:19" ht="13.5" thickBot="1" x14ac:dyDescent="0.3">
      <c r="C20" s="223"/>
      <c r="D20" s="128"/>
      <c r="E20" s="127"/>
      <c r="F20" s="128"/>
      <c r="G20" s="128"/>
      <c r="H20" s="127"/>
      <c r="I20" s="128"/>
      <c r="J20" s="128"/>
      <c r="K20" s="129"/>
      <c r="L20" s="126"/>
      <c r="M20" s="126"/>
      <c r="N20" s="129"/>
      <c r="O20" s="126"/>
      <c r="P20" s="126"/>
      <c r="Q20" s="126"/>
      <c r="R20" s="129"/>
      <c r="S20" s="126"/>
    </row>
    <row r="21" spans="1:19" ht="13.5" thickBot="1" x14ac:dyDescent="0.3">
      <c r="B21" s="130" t="s">
        <v>111</v>
      </c>
      <c r="C21" s="231"/>
      <c r="D21" s="232"/>
      <c r="E21" s="241">
        <f>SUM(E14:E17)+E19</f>
        <v>3390</v>
      </c>
      <c r="F21" s="232"/>
      <c r="G21" s="232"/>
      <c r="H21" s="241">
        <f>SUM(H14:H17)+H19</f>
        <v>169736.61</v>
      </c>
      <c r="I21" s="232"/>
      <c r="J21" s="232"/>
      <c r="K21" s="246">
        <f>SUM(K14:K17)+K19</f>
        <v>1462655.16</v>
      </c>
      <c r="L21" s="126"/>
      <c r="M21" s="126"/>
      <c r="N21" s="131">
        <f>SUM(N14:N17)</f>
        <v>3679349.77</v>
      </c>
      <c r="O21" s="126"/>
      <c r="P21" s="126"/>
      <c r="Q21" s="126"/>
      <c r="R21" s="131">
        <f>SUM(R14:R17)</f>
        <v>0</v>
      </c>
      <c r="S21" s="126"/>
    </row>
    <row r="22" spans="1:19" x14ac:dyDescent="0.25">
      <c r="B22" s="132"/>
      <c r="C22" s="133"/>
      <c r="D22" s="134"/>
      <c r="E22" s="133"/>
      <c r="F22" s="134"/>
      <c r="G22" s="134"/>
      <c r="H22" s="133"/>
      <c r="I22" s="134"/>
      <c r="J22" s="134"/>
      <c r="K22" s="135"/>
      <c r="L22" s="126"/>
      <c r="M22" s="126"/>
      <c r="N22" s="135"/>
      <c r="O22" s="126"/>
      <c r="P22" s="126"/>
      <c r="Q22" s="126"/>
      <c r="R22" s="135"/>
      <c r="S22" s="126"/>
    </row>
    <row r="23" spans="1:19" x14ac:dyDescent="0.25">
      <c r="A23" s="106" t="s">
        <v>110</v>
      </c>
      <c r="B23" s="118" t="s">
        <v>109</v>
      </c>
      <c r="C23" s="239">
        <v>2109717.5499999998</v>
      </c>
      <c r="D23" s="119">
        <f>C23/$C$25</f>
        <v>0.1182705422241493</v>
      </c>
      <c r="E23" s="242">
        <v>2237569.2799999998</v>
      </c>
      <c r="F23" s="120">
        <f>E23/$E$25</f>
        <v>0.11983948608686587</v>
      </c>
      <c r="G23" s="327">
        <f t="shared" ref="G23" si="12">(E23-C23)/C23*100</f>
        <v>6.0601349218524527</v>
      </c>
      <c r="H23" s="244">
        <v>2602729.33</v>
      </c>
      <c r="I23" s="121">
        <f>H23/$H$25</f>
        <v>0.11822882359173184</v>
      </c>
      <c r="J23" s="328">
        <f t="shared" ref="J23" si="13">(H23-E23)/E23*100</f>
        <v>16.319496931956461</v>
      </c>
      <c r="K23" s="234">
        <v>2689566.63</v>
      </c>
      <c r="L23" s="123">
        <f>K23/$K$25</f>
        <v>0.11915880581904928</v>
      </c>
      <c r="M23" s="329">
        <f t="shared" ref="M23:M25" si="14">(K23-H23)/H23*100</f>
        <v>3.3363938001190392</v>
      </c>
      <c r="N23" s="136">
        <v>2954237.92</v>
      </c>
      <c r="O23" s="123">
        <f t="shared" ref="O23:O25" si="15">N23/$N$25</f>
        <v>0.13293381841425878</v>
      </c>
      <c r="P23" s="329">
        <f t="shared" ref="P23" si="16">(N23-K23)/K23*100</f>
        <v>9.8406667842990032</v>
      </c>
      <c r="Q23" s="329">
        <f t="shared" ref="Q23" si="17">(N23-C23)/C23*100</f>
        <v>40.030020606312924</v>
      </c>
      <c r="R23" s="136"/>
      <c r="S23" s="123">
        <f>R23/$K$25</f>
        <v>0</v>
      </c>
    </row>
    <row r="24" spans="1:19" ht="13.5" thickBot="1" x14ac:dyDescent="0.3">
      <c r="C24" s="233"/>
      <c r="D24" s="137"/>
      <c r="E24" s="233"/>
      <c r="F24" s="137"/>
      <c r="G24" s="137"/>
      <c r="H24" s="233"/>
      <c r="I24" s="137"/>
      <c r="J24" s="137"/>
      <c r="K24" s="233"/>
      <c r="N24" s="138"/>
      <c r="R24" s="138"/>
    </row>
    <row r="25" spans="1:19" ht="13.5" thickBot="1" x14ac:dyDescent="0.3">
      <c r="B25" s="130" t="s">
        <v>108</v>
      </c>
      <c r="C25" s="238">
        <f>C12+C21-C23</f>
        <v>17838064.41</v>
      </c>
      <c r="D25" s="139">
        <v>1</v>
      </c>
      <c r="E25" s="241">
        <f>E12+E21-E23</f>
        <v>18671385.809999999</v>
      </c>
      <c r="F25" s="140">
        <v>1</v>
      </c>
      <c r="G25" s="327">
        <f t="shared" ref="G25" si="18">(E25-C25)/C25*100</f>
        <v>4.6715909352409302</v>
      </c>
      <c r="H25" s="245">
        <f>H12+H21-H23</f>
        <v>22014338.390000001</v>
      </c>
      <c r="I25" s="141">
        <v>1</v>
      </c>
      <c r="J25" s="328">
        <f t="shared" ref="J25" si="19">(H25-E25)/E25*100</f>
        <v>17.904148165636357</v>
      </c>
      <c r="K25" s="246">
        <f>K12+K21-K23</f>
        <v>22571278.82</v>
      </c>
      <c r="L25" s="142">
        <v>1</v>
      </c>
      <c r="M25" s="329">
        <f t="shared" si="14"/>
        <v>2.5298985603536899</v>
      </c>
      <c r="N25" s="131">
        <f>N12+N21-N23</f>
        <v>22223373.670000002</v>
      </c>
      <c r="O25" s="346">
        <f t="shared" si="15"/>
        <v>1</v>
      </c>
      <c r="P25" s="329">
        <f t="shared" ref="P25" si="20">(N25-K25)/K25*100</f>
        <v>-1.5413621566347675</v>
      </c>
      <c r="Q25" s="329">
        <f>(N25-C25)/C25*100</f>
        <v>24.583997227533285</v>
      </c>
      <c r="R25" s="131">
        <f>R12+R21-R23</f>
        <v>0</v>
      </c>
      <c r="S25" s="142">
        <v>1</v>
      </c>
    </row>
    <row r="26" spans="1:19" x14ac:dyDescent="0.25">
      <c r="C26" s="129"/>
      <c r="D26" s="143"/>
      <c r="E26" s="129"/>
      <c r="F26" s="143"/>
      <c r="G26" s="143"/>
      <c r="H26" s="129"/>
      <c r="I26" s="143"/>
      <c r="J26" s="143"/>
      <c r="K26" s="129"/>
    </row>
    <row r="27" spans="1:19" x14ac:dyDescent="0.25">
      <c r="C27" s="129"/>
      <c r="D27" s="143" t="s">
        <v>107</v>
      </c>
      <c r="E27" s="129"/>
      <c r="F27" s="143"/>
      <c r="G27" s="143"/>
      <c r="H27" s="129"/>
      <c r="I27" s="143"/>
      <c r="J27" s="143"/>
      <c r="K27" s="129"/>
    </row>
    <row r="28" spans="1:19" x14ac:dyDescent="0.25">
      <c r="C28" s="129"/>
      <c r="D28" s="143"/>
      <c r="E28" s="129"/>
      <c r="F28" s="143"/>
      <c r="G28" s="143"/>
      <c r="H28" s="129"/>
      <c r="I28" s="143"/>
      <c r="J28" s="143"/>
      <c r="K28" s="129"/>
    </row>
    <row r="29" spans="1:19" x14ac:dyDescent="0.25">
      <c r="C29" s="129"/>
      <c r="D29" s="143"/>
      <c r="E29" s="129"/>
      <c r="F29" s="143"/>
      <c r="G29" s="143"/>
      <c r="H29" s="129"/>
      <c r="I29" s="143"/>
      <c r="J29" s="143"/>
      <c r="K29" s="129"/>
    </row>
    <row r="30" spans="1:19" x14ac:dyDescent="0.25">
      <c r="C30" s="129"/>
      <c r="D30" s="143"/>
      <c r="E30" s="129"/>
      <c r="F30" s="143"/>
      <c r="G30" s="143"/>
      <c r="H30" s="129"/>
      <c r="I30" s="143"/>
      <c r="J30" s="143"/>
      <c r="K30" s="129"/>
    </row>
    <row r="31" spans="1:19" x14ac:dyDescent="0.25">
      <c r="C31" s="129"/>
      <c r="D31" s="143"/>
      <c r="E31" s="129"/>
      <c r="F31" s="143"/>
      <c r="G31" s="143"/>
      <c r="H31" s="129"/>
      <c r="I31" s="143"/>
      <c r="J31" s="143"/>
      <c r="K31" s="129"/>
    </row>
    <row r="32" spans="1:19" x14ac:dyDescent="0.25">
      <c r="C32" s="129"/>
      <c r="D32" s="143"/>
      <c r="E32" s="129"/>
      <c r="F32" s="143"/>
      <c r="G32" s="143"/>
      <c r="H32" s="129"/>
      <c r="I32" s="143"/>
      <c r="J32" s="143"/>
      <c r="K32" s="129"/>
    </row>
    <row r="33" spans="2:11" x14ac:dyDescent="0.25">
      <c r="C33" s="129"/>
      <c r="D33" s="143"/>
      <c r="E33" s="129"/>
      <c r="F33" s="143"/>
      <c r="G33" s="143"/>
      <c r="H33" s="129"/>
      <c r="I33" s="143"/>
      <c r="J33" s="143"/>
      <c r="K33" s="129"/>
    </row>
    <row r="34" spans="2:11" x14ac:dyDescent="0.25">
      <c r="C34" s="129"/>
      <c r="D34" s="143"/>
      <c r="E34" s="129"/>
      <c r="F34" s="143"/>
      <c r="G34" s="143"/>
      <c r="H34" s="129"/>
      <c r="I34" s="143"/>
      <c r="J34" s="143"/>
      <c r="K34" s="129"/>
    </row>
    <row r="35" spans="2:11" x14ac:dyDescent="0.25">
      <c r="C35" s="129"/>
      <c r="D35" s="143"/>
      <c r="E35" s="129"/>
      <c r="F35" s="143"/>
      <c r="G35" s="143"/>
      <c r="H35" s="129"/>
      <c r="I35" s="143"/>
      <c r="J35" s="143"/>
      <c r="K35" s="129"/>
    </row>
    <row r="36" spans="2:11" x14ac:dyDescent="0.25">
      <c r="B36" s="106"/>
      <c r="C36" s="129"/>
      <c r="D36" s="143"/>
      <c r="E36" s="129"/>
      <c r="F36" s="143"/>
      <c r="G36" s="143"/>
      <c r="H36" s="129"/>
      <c r="I36" s="143"/>
      <c r="J36" s="143"/>
      <c r="K36" s="129"/>
    </row>
    <row r="37" spans="2:11" x14ac:dyDescent="0.25">
      <c r="B37" s="106"/>
      <c r="C37" s="129"/>
      <c r="D37" s="143"/>
      <c r="E37" s="129"/>
      <c r="F37" s="143"/>
      <c r="G37" s="143"/>
      <c r="H37" s="129"/>
      <c r="I37" s="143"/>
      <c r="J37" s="143"/>
      <c r="K37" s="129"/>
    </row>
    <row r="38" spans="2:11" x14ac:dyDescent="0.25">
      <c r="B38" s="106"/>
      <c r="C38" s="129"/>
      <c r="D38" s="143"/>
      <c r="E38" s="129"/>
      <c r="F38" s="143"/>
      <c r="G38" s="143"/>
      <c r="H38" s="129"/>
      <c r="I38" s="143"/>
      <c r="J38" s="143"/>
      <c r="K38" s="129"/>
    </row>
    <row r="39" spans="2:11" x14ac:dyDescent="0.25">
      <c r="B39" s="106"/>
      <c r="C39" s="129"/>
      <c r="D39" s="143"/>
      <c r="E39" s="129"/>
      <c r="F39" s="143"/>
      <c r="G39" s="143"/>
      <c r="H39" s="129"/>
      <c r="I39" s="143"/>
      <c r="J39" s="143"/>
      <c r="K39" s="129"/>
    </row>
    <row r="40" spans="2:11" x14ac:dyDescent="0.25">
      <c r="B40" s="106"/>
      <c r="C40" s="129"/>
      <c r="D40" s="143"/>
      <c r="E40" s="129"/>
      <c r="F40" s="143"/>
      <c r="G40" s="143"/>
      <c r="H40" s="129"/>
      <c r="I40" s="143"/>
      <c r="J40" s="143"/>
      <c r="K40" s="129"/>
    </row>
    <row r="41" spans="2:11" x14ac:dyDescent="0.25">
      <c r="B41" s="106"/>
      <c r="C41" s="129"/>
      <c r="D41" s="143"/>
      <c r="E41" s="129"/>
      <c r="F41" s="143"/>
      <c r="G41" s="143"/>
      <c r="H41" s="129"/>
      <c r="I41" s="143"/>
      <c r="J41" s="143"/>
      <c r="K41" s="129"/>
    </row>
    <row r="42" spans="2:11" x14ac:dyDescent="0.25">
      <c r="B42" s="106"/>
      <c r="C42" s="129"/>
      <c r="D42" s="143"/>
      <c r="E42" s="129"/>
      <c r="F42" s="143"/>
      <c r="G42" s="143"/>
      <c r="H42" s="129"/>
      <c r="I42" s="143"/>
      <c r="J42" s="143"/>
      <c r="K42" s="129"/>
    </row>
    <row r="43" spans="2:11" x14ac:dyDescent="0.25">
      <c r="B43" s="106"/>
      <c r="C43" s="129"/>
      <c r="D43" s="143"/>
      <c r="E43" s="129"/>
      <c r="F43" s="143"/>
      <c r="G43" s="143"/>
      <c r="H43" s="129"/>
      <c r="I43" s="143"/>
      <c r="J43" s="143"/>
      <c r="K43" s="129"/>
    </row>
    <row r="44" spans="2:11" x14ac:dyDescent="0.25">
      <c r="B44" s="106"/>
      <c r="C44" s="129"/>
      <c r="D44" s="143"/>
      <c r="E44" s="129"/>
      <c r="F44" s="143"/>
      <c r="G44" s="143"/>
      <c r="H44" s="129"/>
      <c r="I44" s="143"/>
      <c r="J44" s="143"/>
      <c r="K44" s="129"/>
    </row>
    <row r="45" spans="2:11" x14ac:dyDescent="0.25">
      <c r="B45" s="106"/>
      <c r="C45" s="129"/>
      <c r="D45" s="143"/>
      <c r="E45" s="129"/>
      <c r="F45" s="143"/>
      <c r="G45" s="143"/>
      <c r="H45" s="129"/>
      <c r="I45" s="143"/>
      <c r="J45" s="143"/>
      <c r="K45" s="129"/>
    </row>
    <row r="46" spans="2:11" x14ac:dyDescent="0.25">
      <c r="B46" s="106"/>
      <c r="C46" s="129"/>
      <c r="D46" s="143"/>
      <c r="E46" s="129"/>
      <c r="F46" s="143"/>
      <c r="G46" s="143"/>
      <c r="H46" s="129"/>
      <c r="I46" s="143"/>
      <c r="J46" s="143"/>
      <c r="K46" s="129"/>
    </row>
    <row r="47" spans="2:11" x14ac:dyDescent="0.25">
      <c r="B47" s="106"/>
      <c r="C47" s="129"/>
      <c r="D47" s="143"/>
      <c r="E47" s="129"/>
      <c r="F47" s="143"/>
      <c r="G47" s="143"/>
      <c r="H47" s="129"/>
      <c r="I47" s="143"/>
      <c r="J47" s="143"/>
      <c r="K47" s="129"/>
    </row>
    <row r="48" spans="2:11" x14ac:dyDescent="0.25">
      <c r="B48" s="106"/>
      <c r="C48" s="129"/>
      <c r="D48" s="143"/>
      <c r="E48" s="129"/>
      <c r="F48" s="143"/>
      <c r="G48" s="143"/>
      <c r="H48" s="129"/>
      <c r="I48" s="143"/>
      <c r="J48" s="143"/>
      <c r="K48" s="129"/>
    </row>
    <row r="49" spans="2:11" x14ac:dyDescent="0.25">
      <c r="B49" s="106"/>
      <c r="C49" s="129"/>
      <c r="D49" s="143"/>
      <c r="E49" s="129"/>
      <c r="F49" s="143"/>
      <c r="G49" s="143"/>
      <c r="H49" s="129"/>
      <c r="I49" s="143"/>
      <c r="J49" s="143"/>
      <c r="K49" s="129"/>
    </row>
    <row r="50" spans="2:11" x14ac:dyDescent="0.25">
      <c r="B50" s="106"/>
      <c r="C50" s="129"/>
      <c r="D50" s="143"/>
      <c r="E50" s="129"/>
      <c r="F50" s="143"/>
      <c r="G50" s="143"/>
      <c r="H50" s="129"/>
      <c r="I50" s="143"/>
      <c r="J50" s="143"/>
      <c r="K50" s="129"/>
    </row>
    <row r="51" spans="2:11" x14ac:dyDescent="0.25">
      <c r="B51" s="106"/>
      <c r="C51" s="129"/>
      <c r="D51" s="143"/>
      <c r="E51" s="129"/>
      <c r="F51" s="143"/>
      <c r="G51" s="143"/>
      <c r="H51" s="129"/>
      <c r="I51" s="143"/>
      <c r="J51" s="143"/>
      <c r="K51" s="129"/>
    </row>
    <row r="52" spans="2:11" x14ac:dyDescent="0.25">
      <c r="B52" s="106"/>
      <c r="C52" s="129"/>
      <c r="D52" s="143"/>
      <c r="E52" s="129"/>
      <c r="F52" s="143"/>
      <c r="G52" s="143"/>
      <c r="H52" s="129"/>
      <c r="I52" s="143"/>
      <c r="J52" s="143"/>
      <c r="K52" s="129"/>
    </row>
    <row r="53" spans="2:11" x14ac:dyDescent="0.25">
      <c r="B53" s="106"/>
      <c r="C53" s="129"/>
      <c r="D53" s="143"/>
      <c r="E53" s="129"/>
      <c r="F53" s="143"/>
      <c r="G53" s="143"/>
      <c r="H53" s="129"/>
      <c r="I53" s="143"/>
      <c r="J53" s="143"/>
      <c r="K53" s="129"/>
    </row>
    <row r="54" spans="2:11" x14ac:dyDescent="0.25">
      <c r="B54" s="106"/>
      <c r="C54" s="129"/>
      <c r="D54" s="143"/>
      <c r="E54" s="129"/>
      <c r="F54" s="143"/>
      <c r="G54" s="143"/>
      <c r="H54" s="129"/>
      <c r="I54" s="143"/>
      <c r="J54" s="143"/>
      <c r="K54" s="129"/>
    </row>
    <row r="55" spans="2:11" x14ac:dyDescent="0.25">
      <c r="B55" s="106"/>
      <c r="C55" s="129"/>
      <c r="D55" s="143"/>
      <c r="E55" s="129"/>
      <c r="F55" s="143"/>
      <c r="G55" s="143"/>
      <c r="H55" s="129"/>
      <c r="I55" s="143"/>
      <c r="J55" s="143"/>
      <c r="K55" s="129"/>
    </row>
    <row r="56" spans="2:11" x14ac:dyDescent="0.25">
      <c r="B56" s="106"/>
      <c r="C56" s="129"/>
      <c r="D56" s="143"/>
      <c r="E56" s="129"/>
      <c r="F56" s="143"/>
      <c r="G56" s="143"/>
      <c r="H56" s="129"/>
      <c r="I56" s="143"/>
      <c r="J56" s="143"/>
      <c r="K56" s="129"/>
    </row>
    <row r="57" spans="2:11" x14ac:dyDescent="0.25">
      <c r="B57" s="106"/>
      <c r="C57" s="129"/>
      <c r="D57" s="143"/>
      <c r="E57" s="129"/>
      <c r="F57" s="143"/>
      <c r="G57" s="143"/>
      <c r="H57" s="129"/>
      <c r="I57" s="143"/>
      <c r="J57" s="143"/>
      <c r="K57" s="129"/>
    </row>
    <row r="58" spans="2:11" x14ac:dyDescent="0.25">
      <c r="B58" s="106"/>
      <c r="C58" s="129"/>
      <c r="D58" s="143"/>
      <c r="E58" s="129"/>
      <c r="F58" s="143"/>
      <c r="G58" s="143"/>
      <c r="H58" s="129"/>
      <c r="I58" s="143"/>
      <c r="J58" s="143"/>
      <c r="K58" s="129"/>
    </row>
    <row r="59" spans="2:11" x14ac:dyDescent="0.25">
      <c r="B59" s="106"/>
      <c r="C59" s="129"/>
      <c r="D59" s="143"/>
      <c r="E59" s="129"/>
      <c r="F59" s="143"/>
      <c r="G59" s="143"/>
      <c r="H59" s="129"/>
      <c r="I59" s="143"/>
      <c r="J59" s="143"/>
      <c r="K59" s="129"/>
    </row>
    <row r="60" spans="2:11" x14ac:dyDescent="0.25">
      <c r="B60" s="106"/>
      <c r="C60" s="129"/>
      <c r="D60" s="143"/>
      <c r="E60" s="129"/>
      <c r="F60" s="143"/>
      <c r="G60" s="143"/>
      <c r="H60" s="129"/>
      <c r="I60" s="143"/>
      <c r="J60" s="143"/>
      <c r="K60" s="129"/>
    </row>
    <row r="61" spans="2:11" x14ac:dyDescent="0.25">
      <c r="B61" s="106"/>
      <c r="C61" s="129"/>
      <c r="D61" s="143"/>
      <c r="E61" s="129"/>
      <c r="F61" s="143"/>
      <c r="G61" s="143"/>
      <c r="H61" s="129"/>
      <c r="I61" s="143"/>
      <c r="J61" s="143"/>
      <c r="K61" s="129"/>
    </row>
    <row r="62" spans="2:11" x14ac:dyDescent="0.25">
      <c r="B62" s="106"/>
      <c r="C62" s="129"/>
      <c r="D62" s="143"/>
      <c r="E62" s="129"/>
      <c r="F62" s="143"/>
      <c r="G62" s="143"/>
      <c r="H62" s="129"/>
      <c r="I62" s="143"/>
      <c r="J62" s="143"/>
      <c r="K62" s="129"/>
    </row>
    <row r="63" spans="2:11" x14ac:dyDescent="0.25">
      <c r="B63" s="106"/>
      <c r="C63" s="129"/>
      <c r="D63" s="143"/>
      <c r="E63" s="129"/>
      <c r="F63" s="143"/>
      <c r="G63" s="143"/>
      <c r="H63" s="129"/>
      <c r="I63" s="143"/>
      <c r="J63" s="143"/>
      <c r="K63" s="129"/>
    </row>
    <row r="64" spans="2:11" x14ac:dyDescent="0.25">
      <c r="B64" s="106"/>
      <c r="C64" s="129"/>
      <c r="D64" s="143"/>
      <c r="E64" s="129"/>
      <c r="F64" s="143"/>
      <c r="G64" s="143"/>
      <c r="H64" s="129"/>
      <c r="I64" s="143"/>
      <c r="J64" s="143"/>
      <c r="K64" s="129"/>
    </row>
    <row r="65" spans="2:11" x14ac:dyDescent="0.25">
      <c r="B65" s="106"/>
      <c r="C65" s="129"/>
      <c r="D65" s="143"/>
      <c r="E65" s="129"/>
      <c r="F65" s="143"/>
      <c r="G65" s="143"/>
      <c r="H65" s="129"/>
      <c r="I65" s="143"/>
      <c r="J65" s="143"/>
      <c r="K65" s="129"/>
    </row>
    <row r="66" spans="2:11" x14ac:dyDescent="0.25">
      <c r="B66" s="106"/>
      <c r="C66" s="129"/>
      <c r="D66" s="143"/>
      <c r="E66" s="129"/>
      <c r="F66" s="143"/>
      <c r="G66" s="143"/>
      <c r="H66" s="129"/>
      <c r="I66" s="143"/>
      <c r="J66" s="143"/>
      <c r="K66" s="129"/>
    </row>
    <row r="67" spans="2:11" x14ac:dyDescent="0.25">
      <c r="B67" s="106"/>
      <c r="C67" s="129"/>
      <c r="D67" s="143"/>
      <c r="E67" s="129"/>
      <c r="F67" s="143"/>
      <c r="G67" s="143"/>
      <c r="H67" s="129"/>
      <c r="I67" s="143"/>
      <c r="J67" s="143"/>
      <c r="K67" s="129"/>
    </row>
    <row r="68" spans="2:11" x14ac:dyDescent="0.25">
      <c r="B68" s="106"/>
      <c r="C68" s="129"/>
      <c r="D68" s="143"/>
      <c r="E68" s="129"/>
      <c r="F68" s="143"/>
      <c r="G68" s="143"/>
      <c r="H68" s="129"/>
      <c r="I68" s="143"/>
      <c r="J68" s="143"/>
      <c r="K68" s="129"/>
    </row>
    <row r="69" spans="2:11" x14ac:dyDescent="0.25">
      <c r="B69" s="106"/>
      <c r="C69" s="129"/>
      <c r="D69" s="143"/>
      <c r="E69" s="129"/>
      <c r="F69" s="143"/>
      <c r="G69" s="143"/>
      <c r="H69" s="129"/>
      <c r="I69" s="143"/>
      <c r="J69" s="143"/>
      <c r="K69" s="129"/>
    </row>
    <row r="70" spans="2:11" x14ac:dyDescent="0.25">
      <c r="B70" s="106"/>
      <c r="C70" s="129"/>
      <c r="D70" s="143"/>
      <c r="E70" s="129"/>
      <c r="F70" s="143"/>
      <c r="G70" s="143"/>
      <c r="H70" s="129"/>
      <c r="I70" s="143"/>
      <c r="J70" s="143"/>
      <c r="K70" s="129"/>
    </row>
    <row r="71" spans="2:11" x14ac:dyDescent="0.25">
      <c r="B71" s="106"/>
      <c r="C71" s="129"/>
      <c r="D71" s="143"/>
      <c r="E71" s="129"/>
      <c r="F71" s="143"/>
      <c r="G71" s="143"/>
      <c r="H71" s="129"/>
      <c r="I71" s="143"/>
      <c r="J71" s="143"/>
      <c r="K71" s="129"/>
    </row>
    <row r="72" spans="2:11" x14ac:dyDescent="0.25">
      <c r="B72" s="106"/>
      <c r="C72" s="129"/>
      <c r="D72" s="143"/>
      <c r="E72" s="129"/>
      <c r="F72" s="143"/>
      <c r="G72" s="143"/>
      <c r="H72" s="129"/>
      <c r="I72" s="143"/>
      <c r="J72" s="143"/>
      <c r="K72" s="129"/>
    </row>
    <row r="73" spans="2:11" x14ac:dyDescent="0.25">
      <c r="B73" s="106"/>
      <c r="C73" s="129"/>
      <c r="D73" s="143"/>
      <c r="E73" s="129"/>
      <c r="F73" s="143"/>
      <c r="G73" s="143"/>
      <c r="H73" s="129"/>
      <c r="I73" s="143"/>
      <c r="J73" s="143"/>
      <c r="K73" s="129"/>
    </row>
    <row r="74" spans="2:11" x14ac:dyDescent="0.25">
      <c r="B74" s="106"/>
      <c r="C74" s="129"/>
      <c r="D74" s="143"/>
      <c r="E74" s="129"/>
      <c r="F74" s="143"/>
      <c r="G74" s="143"/>
      <c r="H74" s="129"/>
      <c r="I74" s="143"/>
      <c r="J74" s="143"/>
      <c r="K74" s="129"/>
    </row>
    <row r="75" spans="2:11" x14ac:dyDescent="0.25">
      <c r="B75" s="106"/>
      <c r="C75" s="129"/>
      <c r="D75" s="143"/>
      <c r="E75" s="129"/>
      <c r="F75" s="143"/>
      <c r="G75" s="143"/>
      <c r="H75" s="129"/>
      <c r="I75" s="143"/>
      <c r="J75" s="143"/>
      <c r="K75" s="129"/>
    </row>
    <row r="76" spans="2:11" x14ac:dyDescent="0.25">
      <c r="B76" s="106"/>
      <c r="C76" s="129"/>
      <c r="D76" s="143"/>
      <c r="E76" s="129"/>
      <c r="F76" s="143"/>
      <c r="G76" s="143"/>
      <c r="H76" s="129"/>
      <c r="I76" s="143"/>
      <c r="J76" s="143"/>
      <c r="K76" s="129"/>
    </row>
    <row r="77" spans="2:11" x14ac:dyDescent="0.25">
      <c r="B77" s="106"/>
      <c r="C77" s="129"/>
      <c r="D77" s="143"/>
      <c r="E77" s="129"/>
      <c r="F77" s="143"/>
      <c r="G77" s="143"/>
      <c r="H77" s="129"/>
      <c r="I77" s="143"/>
      <c r="J77" s="143"/>
      <c r="K77" s="129"/>
    </row>
    <row r="78" spans="2:11" x14ac:dyDescent="0.25">
      <c r="B78" s="106"/>
      <c r="C78" s="129"/>
      <c r="D78" s="143"/>
      <c r="E78" s="129"/>
      <c r="F78" s="143"/>
      <c r="G78" s="143"/>
      <c r="H78" s="129"/>
      <c r="I78" s="143"/>
      <c r="J78" s="143"/>
      <c r="K78" s="129"/>
    </row>
    <row r="79" spans="2:11" x14ac:dyDescent="0.25">
      <c r="B79" s="106"/>
      <c r="C79" s="129"/>
      <c r="D79" s="143"/>
      <c r="E79" s="129"/>
      <c r="F79" s="143"/>
      <c r="G79" s="143"/>
      <c r="H79" s="129"/>
      <c r="I79" s="143"/>
      <c r="J79" s="143"/>
      <c r="K79" s="129"/>
    </row>
    <row r="80" spans="2:11" x14ac:dyDescent="0.25">
      <c r="B80" s="106"/>
      <c r="C80" s="129"/>
      <c r="D80" s="143"/>
      <c r="E80" s="129"/>
      <c r="F80" s="143"/>
      <c r="G80" s="143"/>
      <c r="H80" s="129"/>
      <c r="I80" s="143"/>
      <c r="J80" s="143"/>
      <c r="K80" s="129"/>
    </row>
    <row r="81" spans="2:11" x14ac:dyDescent="0.25">
      <c r="B81" s="106"/>
      <c r="C81" s="129"/>
      <c r="D81" s="143"/>
      <c r="E81" s="129"/>
      <c r="F81" s="143"/>
      <c r="G81" s="143"/>
      <c r="H81" s="129"/>
      <c r="I81" s="143"/>
      <c r="J81" s="143"/>
      <c r="K81" s="129"/>
    </row>
    <row r="82" spans="2:11" x14ac:dyDescent="0.25">
      <c r="B82" s="106"/>
      <c r="C82" s="129"/>
      <c r="D82" s="143"/>
      <c r="E82" s="129"/>
      <c r="F82" s="143"/>
      <c r="G82" s="143"/>
      <c r="H82" s="129"/>
      <c r="I82" s="143"/>
      <c r="J82" s="143"/>
      <c r="K82" s="129"/>
    </row>
    <row r="83" spans="2:11" x14ac:dyDescent="0.25">
      <c r="B83" s="106"/>
      <c r="C83" s="129"/>
      <c r="D83" s="143"/>
      <c r="E83" s="129"/>
      <c r="F83" s="143"/>
      <c r="G83" s="143"/>
      <c r="H83" s="129"/>
      <c r="I83" s="143"/>
      <c r="J83" s="143"/>
      <c r="K83" s="129"/>
    </row>
    <row r="84" spans="2:11" x14ac:dyDescent="0.25">
      <c r="B84" s="106"/>
      <c r="C84" s="129"/>
      <c r="D84" s="143"/>
      <c r="E84" s="129"/>
      <c r="F84" s="143"/>
      <c r="G84" s="143"/>
      <c r="H84" s="129"/>
      <c r="I84" s="143"/>
      <c r="J84" s="143"/>
      <c r="K84" s="129"/>
    </row>
    <row r="85" spans="2:11" x14ac:dyDescent="0.25">
      <c r="B85" s="106"/>
      <c r="C85" s="129"/>
      <c r="D85" s="143"/>
      <c r="E85" s="129"/>
      <c r="F85" s="143"/>
      <c r="G85" s="143"/>
      <c r="H85" s="129"/>
      <c r="I85" s="143"/>
      <c r="J85" s="143"/>
      <c r="K85" s="129"/>
    </row>
  </sheetData>
  <mergeCells count="1">
    <mergeCell ref="B1:C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41"/>
  <sheetViews>
    <sheetView workbookViewId="0">
      <selection activeCell="E16" sqref="E16"/>
    </sheetView>
  </sheetViews>
  <sheetFormatPr defaultRowHeight="12.75" x14ac:dyDescent="0.2"/>
  <cols>
    <col min="1" max="1" width="8.28515625" style="144" bestFit="1" customWidth="1"/>
    <col min="2" max="2" width="41.85546875" style="1" bestFit="1" customWidth="1"/>
    <col min="3" max="3" width="12.140625" style="1" bestFit="1" customWidth="1"/>
    <col min="4" max="4" width="13.140625" style="1" bestFit="1" customWidth="1"/>
    <col min="5" max="5" width="12.140625" style="1" bestFit="1" customWidth="1"/>
    <col min="6" max="6" width="13.140625" style="1" bestFit="1" customWidth="1"/>
    <col min="7" max="7" width="14.28515625" style="1" bestFit="1" customWidth="1"/>
    <col min="8" max="8" width="12.7109375" style="1" bestFit="1" customWidth="1"/>
    <col min="9" max="9" width="13.140625" style="1" bestFit="1" customWidth="1"/>
    <col min="10" max="10" width="13.85546875" style="1" bestFit="1" customWidth="1"/>
    <col min="11" max="11" width="12.140625" style="1" bestFit="1" customWidth="1"/>
    <col min="12" max="12" width="13.140625" style="1" bestFit="1" customWidth="1"/>
    <col min="13" max="13" width="13.85546875" style="1" bestFit="1" customWidth="1"/>
    <col min="14" max="14" width="12.140625" style="1" customWidth="1"/>
    <col min="15" max="15" width="13.140625" style="1" bestFit="1" customWidth="1"/>
    <col min="16" max="16" width="13.85546875" style="1" bestFit="1" customWidth="1"/>
    <col min="17" max="18" width="13.85546875" style="1" customWidth="1"/>
    <col min="19" max="19" width="5" style="1" bestFit="1" customWidth="1"/>
    <col min="20" max="20" width="13.140625" style="1" bestFit="1" customWidth="1"/>
    <col min="21" max="16384" width="9.140625" style="1"/>
  </cols>
  <sheetData>
    <row r="1" spans="1:20" ht="16.5" thickBot="1" x14ac:dyDescent="0.3">
      <c r="B1" s="354" t="s">
        <v>272</v>
      </c>
      <c r="C1" s="355"/>
      <c r="D1" s="311">
        <v>43781</v>
      </c>
    </row>
    <row r="2" spans="1:20" ht="16.5" thickBot="1" x14ac:dyDescent="0.3">
      <c r="B2" s="305"/>
      <c r="C2" s="305"/>
      <c r="D2" s="306"/>
    </row>
    <row r="3" spans="1:20" ht="13.5" thickBot="1" x14ac:dyDescent="0.25">
      <c r="D3" s="149">
        <v>2014</v>
      </c>
      <c r="F3" s="145">
        <v>2015</v>
      </c>
      <c r="G3" s="145" t="s">
        <v>286</v>
      </c>
      <c r="I3" s="146">
        <v>2016</v>
      </c>
      <c r="J3" s="146" t="s">
        <v>289</v>
      </c>
      <c r="L3" s="147">
        <v>2017</v>
      </c>
      <c r="M3" s="147" t="s">
        <v>287</v>
      </c>
      <c r="O3" s="147">
        <v>2018</v>
      </c>
      <c r="P3" s="147" t="s">
        <v>288</v>
      </c>
      <c r="Q3" s="147">
        <v>2018</v>
      </c>
      <c r="R3" s="147" t="s">
        <v>290</v>
      </c>
      <c r="T3" s="147">
        <v>2019</v>
      </c>
    </row>
    <row r="4" spans="1:20" ht="13.5" thickBot="1" x14ac:dyDescent="0.25">
      <c r="B4" s="148" t="s">
        <v>186</v>
      </c>
      <c r="C4" s="149">
        <v>2014</v>
      </c>
      <c r="D4" s="150" t="s">
        <v>132</v>
      </c>
      <c r="E4" s="145">
        <v>2015</v>
      </c>
      <c r="F4" s="110" t="s">
        <v>132</v>
      </c>
      <c r="G4" s="110" t="s">
        <v>284</v>
      </c>
      <c r="H4" s="146">
        <v>2016</v>
      </c>
      <c r="I4" s="111" t="s">
        <v>132</v>
      </c>
      <c r="J4" s="320" t="s">
        <v>285</v>
      </c>
      <c r="K4" s="153">
        <v>2017</v>
      </c>
      <c r="L4" s="109" t="s">
        <v>132</v>
      </c>
      <c r="M4" s="319" t="s">
        <v>285</v>
      </c>
      <c r="N4" s="153">
        <v>2018</v>
      </c>
      <c r="O4" s="109" t="s">
        <v>132</v>
      </c>
      <c r="P4" s="319" t="s">
        <v>285</v>
      </c>
      <c r="Q4" s="319" t="s">
        <v>285</v>
      </c>
      <c r="R4" s="319" t="s">
        <v>285</v>
      </c>
      <c r="S4" s="153">
        <v>2019</v>
      </c>
      <c r="T4" s="109" t="s">
        <v>132</v>
      </c>
    </row>
    <row r="5" spans="1:20" x14ac:dyDescent="0.2">
      <c r="A5" s="154" t="s">
        <v>185</v>
      </c>
      <c r="B5" s="155" t="s">
        <v>184</v>
      </c>
      <c r="C5" s="156">
        <v>2800</v>
      </c>
      <c r="D5" s="157">
        <f t="shared" ref="D5:D29" si="0">C5/$C$34</f>
        <v>1.7974446790773805E-4</v>
      </c>
      <c r="E5" s="158">
        <v>0</v>
      </c>
      <c r="F5" s="159">
        <f t="shared" ref="F5:F29" si="1">E5/$E$34</f>
        <v>0</v>
      </c>
      <c r="G5" s="323">
        <f>(E5-C5)/C5*100</f>
        <v>-100</v>
      </c>
      <c r="H5" s="160">
        <v>0</v>
      </c>
      <c r="I5" s="161">
        <f t="shared" ref="I5:I29" si="2">H5/$H$34</f>
        <v>0</v>
      </c>
      <c r="J5" s="321"/>
      <c r="K5" s="162">
        <v>0</v>
      </c>
      <c r="L5" s="163">
        <f t="shared" ref="L5:L29" si="3">K5/$K$34</f>
        <v>0</v>
      </c>
      <c r="M5" s="322"/>
      <c r="N5" s="162">
        <v>0</v>
      </c>
      <c r="O5" s="163">
        <f>N5/$N$34</f>
        <v>0</v>
      </c>
      <c r="P5" s="322"/>
      <c r="Q5" s="322">
        <f>P5</f>
        <v>0</v>
      </c>
      <c r="R5" s="322">
        <f>(N5-C5)/C5*100</f>
        <v>-100</v>
      </c>
      <c r="S5" s="162"/>
      <c r="T5" s="163">
        <f t="shared" ref="T5:T29" si="4">S5/$K$34</f>
        <v>0</v>
      </c>
    </row>
    <row r="6" spans="1:20" x14ac:dyDescent="0.2">
      <c r="A6" s="164" t="s">
        <v>183</v>
      </c>
      <c r="B6" s="155" t="s">
        <v>182</v>
      </c>
      <c r="C6" s="156">
        <v>0</v>
      </c>
      <c r="D6" s="157">
        <f t="shared" si="0"/>
        <v>0</v>
      </c>
      <c r="E6" s="158">
        <v>225567.13</v>
      </c>
      <c r="F6" s="159">
        <f t="shared" si="1"/>
        <v>1.3941419436167215E-2</v>
      </c>
      <c r="G6" s="323"/>
      <c r="H6" s="160">
        <v>201650.64</v>
      </c>
      <c r="I6" s="161">
        <f t="shared" si="2"/>
        <v>1.0715223237359064E-2</v>
      </c>
      <c r="J6" s="321">
        <f t="shared" ref="J6:J29" si="5">(H6-E6)/E6*100</f>
        <v>-10.602825863857021</v>
      </c>
      <c r="K6" s="162">
        <v>243516.92</v>
      </c>
      <c r="L6" s="163">
        <f t="shared" si="3"/>
        <v>1.1552355562350092E-2</v>
      </c>
      <c r="M6" s="322">
        <f t="shared" ref="M6:M29" si="6">(K6-H6)/H6*100</f>
        <v>20.761788804637561</v>
      </c>
      <c r="N6" s="162">
        <v>227327.41</v>
      </c>
      <c r="O6" s="163">
        <f t="shared" ref="O6:O29" si="7">N6/$N$34</f>
        <v>9.488135050857353E-3</v>
      </c>
      <c r="P6" s="322">
        <f t="shared" ref="P6:P29" si="8">(N6-K6)/K6*100</f>
        <v>-6.6482074428339546</v>
      </c>
      <c r="Q6" s="322">
        <f t="shared" ref="Q6:Q28" si="9">P6</f>
        <v>-6.6482074428339546</v>
      </c>
      <c r="R6" s="322"/>
      <c r="S6" s="162"/>
      <c r="T6" s="163">
        <f t="shared" si="4"/>
        <v>0</v>
      </c>
    </row>
    <row r="7" spans="1:20" x14ac:dyDescent="0.2">
      <c r="A7" s="164" t="s">
        <v>181</v>
      </c>
      <c r="B7" s="155" t="s">
        <v>180</v>
      </c>
      <c r="C7" s="156">
        <v>6657547.3499999996</v>
      </c>
      <c r="D7" s="157">
        <f t="shared" si="0"/>
        <v>0.42737760928440055</v>
      </c>
      <c r="E7" s="158">
        <v>7176472.71</v>
      </c>
      <c r="F7" s="159">
        <f t="shared" si="1"/>
        <v>0.44354962587996577</v>
      </c>
      <c r="G7" s="323">
        <f t="shared" ref="G7:G29" si="10">(E7-C7)/C7*100</f>
        <v>7.7945425352476141</v>
      </c>
      <c r="H7" s="160">
        <v>8496160.3499999996</v>
      </c>
      <c r="I7" s="161">
        <f t="shared" si="2"/>
        <v>0.4514652411251891</v>
      </c>
      <c r="J7" s="321">
        <f t="shared" si="5"/>
        <v>18.389084628735382</v>
      </c>
      <c r="K7" s="162">
        <v>8844827.8599999994</v>
      </c>
      <c r="L7" s="163">
        <f t="shared" si="3"/>
        <v>0.41959546928607688</v>
      </c>
      <c r="M7" s="322">
        <f t="shared" si="6"/>
        <v>4.103824499969563</v>
      </c>
      <c r="N7" s="162">
        <v>9329455.7799999993</v>
      </c>
      <c r="O7" s="163">
        <f t="shared" si="7"/>
        <v>0.38939051120866469</v>
      </c>
      <c r="P7" s="322">
        <f t="shared" si="8"/>
        <v>5.4792238771733421</v>
      </c>
      <c r="Q7" s="322">
        <f t="shared" si="9"/>
        <v>5.4792238771733421</v>
      </c>
      <c r="R7" s="322">
        <f t="shared" ref="R7:R28" si="11">(N7-C7)/C7*100</f>
        <v>40.133524998511646</v>
      </c>
      <c r="S7" s="162"/>
      <c r="T7" s="163">
        <f t="shared" si="4"/>
        <v>0</v>
      </c>
    </row>
    <row r="8" spans="1:20" x14ac:dyDescent="0.2">
      <c r="A8" s="164" t="s">
        <v>179</v>
      </c>
      <c r="B8" s="155" t="s">
        <v>178</v>
      </c>
      <c r="C8" s="156">
        <v>382792</v>
      </c>
      <c r="D8" s="157">
        <f>C8/$C$34</f>
        <v>2.4573122985478167E-2</v>
      </c>
      <c r="E8" s="158">
        <v>317206.11</v>
      </c>
      <c r="F8" s="159">
        <f t="shared" si="1"/>
        <v>1.9605265302728263E-2</v>
      </c>
      <c r="G8" s="323">
        <f t="shared" si="10"/>
        <v>-17.133558172584593</v>
      </c>
      <c r="H8" s="160">
        <v>410401.77</v>
      </c>
      <c r="I8" s="161">
        <f t="shared" si="2"/>
        <v>2.1807749197112838E-2</v>
      </c>
      <c r="J8" s="321">
        <f t="shared" si="5"/>
        <v>29.380159165282166</v>
      </c>
      <c r="K8" s="162">
        <v>394493.08</v>
      </c>
      <c r="L8" s="163">
        <f t="shared" si="3"/>
        <v>1.8714610578380423E-2</v>
      </c>
      <c r="M8" s="322">
        <f t="shared" si="6"/>
        <v>-3.8763697339804364</v>
      </c>
      <c r="N8" s="162">
        <v>432956.28</v>
      </c>
      <c r="O8" s="163">
        <f t="shared" si="7"/>
        <v>1.8070621821437243E-2</v>
      </c>
      <c r="P8" s="322">
        <f t="shared" si="8"/>
        <v>9.7500316101869302</v>
      </c>
      <c r="Q8" s="322">
        <f t="shared" si="9"/>
        <v>9.7500316101869302</v>
      </c>
      <c r="R8" s="322">
        <f t="shared" si="11"/>
        <v>13.104840226546017</v>
      </c>
      <c r="S8" s="162"/>
      <c r="T8" s="163">
        <f t="shared" si="4"/>
        <v>0</v>
      </c>
    </row>
    <row r="9" spans="1:20" x14ac:dyDescent="0.2">
      <c r="A9" s="164" t="s">
        <v>177</v>
      </c>
      <c r="B9" s="155" t="s">
        <v>176</v>
      </c>
      <c r="C9" s="156">
        <v>0</v>
      </c>
      <c r="D9" s="157">
        <f t="shared" si="0"/>
        <v>0</v>
      </c>
      <c r="E9" s="158">
        <v>0</v>
      </c>
      <c r="F9" s="159">
        <f t="shared" si="1"/>
        <v>0</v>
      </c>
      <c r="G9" s="323"/>
      <c r="H9" s="160">
        <v>48545.54</v>
      </c>
      <c r="I9" s="161">
        <f t="shared" si="2"/>
        <v>2.5795916059485053E-3</v>
      </c>
      <c r="J9" s="321"/>
      <c r="K9" s="162">
        <v>0</v>
      </c>
      <c r="L9" s="163">
        <f t="shared" si="3"/>
        <v>0</v>
      </c>
      <c r="M9" s="322">
        <f t="shared" si="6"/>
        <v>-100</v>
      </c>
      <c r="N9" s="162">
        <v>0</v>
      </c>
      <c r="O9" s="163">
        <f t="shared" si="7"/>
        <v>0</v>
      </c>
      <c r="P9" s="322"/>
      <c r="Q9" s="322">
        <f t="shared" si="9"/>
        <v>0</v>
      </c>
      <c r="R9" s="322"/>
      <c r="S9" s="162"/>
      <c r="T9" s="163">
        <f t="shared" si="4"/>
        <v>0</v>
      </c>
    </row>
    <row r="10" spans="1:20" x14ac:dyDescent="0.2">
      <c r="A10" s="164" t="s">
        <v>175</v>
      </c>
      <c r="B10" s="155" t="s">
        <v>174</v>
      </c>
      <c r="C10" s="156">
        <v>0</v>
      </c>
      <c r="D10" s="157">
        <f t="shared" si="0"/>
        <v>0</v>
      </c>
      <c r="E10" s="158">
        <v>0</v>
      </c>
      <c r="F10" s="159">
        <f t="shared" si="1"/>
        <v>0</v>
      </c>
      <c r="G10" s="323"/>
      <c r="H10" s="160">
        <v>0</v>
      </c>
      <c r="I10" s="161">
        <f t="shared" si="2"/>
        <v>0</v>
      </c>
      <c r="J10" s="321"/>
      <c r="K10" s="162">
        <v>0</v>
      </c>
      <c r="L10" s="163">
        <f t="shared" si="3"/>
        <v>0</v>
      </c>
      <c r="M10" s="322"/>
      <c r="N10" s="162">
        <v>0</v>
      </c>
      <c r="O10" s="163">
        <f t="shared" si="7"/>
        <v>0</v>
      </c>
      <c r="P10" s="322"/>
      <c r="Q10" s="322">
        <f t="shared" si="9"/>
        <v>0</v>
      </c>
      <c r="R10" s="322"/>
      <c r="S10" s="162"/>
      <c r="T10" s="163">
        <f t="shared" si="4"/>
        <v>0</v>
      </c>
    </row>
    <row r="11" spans="1:20" x14ac:dyDescent="0.2">
      <c r="A11" s="164" t="s">
        <v>173</v>
      </c>
      <c r="B11" s="155" t="s">
        <v>172</v>
      </c>
      <c r="C11" s="156">
        <v>1008917.46</v>
      </c>
      <c r="D11" s="157">
        <f t="shared" si="0"/>
        <v>6.4766904289473778E-2</v>
      </c>
      <c r="E11" s="158">
        <v>1022187.66</v>
      </c>
      <c r="F11" s="159">
        <f t="shared" si="1"/>
        <v>6.3177409361613479E-2</v>
      </c>
      <c r="G11" s="323">
        <f t="shared" si="10"/>
        <v>1.3152909456042192</v>
      </c>
      <c r="H11" s="160">
        <v>1236114.97</v>
      </c>
      <c r="I11" s="161">
        <f t="shared" si="2"/>
        <v>6.5684134950384485E-2</v>
      </c>
      <c r="J11" s="321">
        <f t="shared" si="5"/>
        <v>20.928379237135374</v>
      </c>
      <c r="K11" s="162">
        <v>1416344.79</v>
      </c>
      <c r="L11" s="163">
        <f t="shared" si="3"/>
        <v>6.7190890115405827E-2</v>
      </c>
      <c r="M11" s="322">
        <f t="shared" si="6"/>
        <v>14.580344415697844</v>
      </c>
      <c r="N11" s="162">
        <v>0</v>
      </c>
      <c r="O11" s="163">
        <f t="shared" si="7"/>
        <v>0</v>
      </c>
      <c r="P11" s="322">
        <f t="shared" si="8"/>
        <v>-100</v>
      </c>
      <c r="Q11" s="322">
        <f t="shared" si="9"/>
        <v>-100</v>
      </c>
      <c r="R11" s="322">
        <f t="shared" si="11"/>
        <v>-100</v>
      </c>
      <c r="S11" s="162"/>
      <c r="T11" s="163">
        <f t="shared" si="4"/>
        <v>0</v>
      </c>
    </row>
    <row r="12" spans="1:20" x14ac:dyDescent="0.2">
      <c r="A12" s="164" t="s">
        <v>171</v>
      </c>
      <c r="B12" s="155" t="s">
        <v>170</v>
      </c>
      <c r="C12" s="156">
        <v>23676.5</v>
      </c>
      <c r="D12" s="157">
        <f t="shared" si="0"/>
        <v>1.5198999622919858E-3</v>
      </c>
      <c r="E12" s="158">
        <v>29500</v>
      </c>
      <c r="F12" s="159">
        <f t="shared" si="1"/>
        <v>1.8232792755173719E-3</v>
      </c>
      <c r="G12" s="323">
        <f t="shared" si="10"/>
        <v>24.596118514138492</v>
      </c>
      <c r="H12" s="160">
        <v>50900</v>
      </c>
      <c r="I12" s="161">
        <f t="shared" si="2"/>
        <v>2.7047018684472129E-3</v>
      </c>
      <c r="J12" s="321">
        <f t="shared" si="5"/>
        <v>72.542372881355931</v>
      </c>
      <c r="K12" s="162">
        <v>30600</v>
      </c>
      <c r="L12" s="163">
        <f t="shared" si="3"/>
        <v>1.4516530523132141E-3</v>
      </c>
      <c r="M12" s="322">
        <f t="shared" si="6"/>
        <v>-39.882121807465623</v>
      </c>
      <c r="N12" s="162">
        <v>0</v>
      </c>
      <c r="O12" s="163">
        <f t="shared" si="7"/>
        <v>0</v>
      </c>
      <c r="P12" s="322">
        <f t="shared" si="8"/>
        <v>-100</v>
      </c>
      <c r="Q12" s="322">
        <f t="shared" si="9"/>
        <v>-100</v>
      </c>
      <c r="R12" s="322">
        <f t="shared" si="11"/>
        <v>-100</v>
      </c>
      <c r="S12" s="162"/>
      <c r="T12" s="163">
        <f t="shared" si="4"/>
        <v>0</v>
      </c>
    </row>
    <row r="13" spans="1:20" x14ac:dyDescent="0.2">
      <c r="A13" s="164" t="s">
        <v>169</v>
      </c>
      <c r="B13" s="155" t="s">
        <v>168</v>
      </c>
      <c r="C13" s="156">
        <v>0</v>
      </c>
      <c r="D13" s="157">
        <f t="shared" si="0"/>
        <v>0</v>
      </c>
      <c r="E13" s="158">
        <v>0</v>
      </c>
      <c r="F13" s="159">
        <f t="shared" si="1"/>
        <v>0</v>
      </c>
      <c r="G13" s="323"/>
      <c r="H13" s="160">
        <v>0</v>
      </c>
      <c r="I13" s="161">
        <f t="shared" si="2"/>
        <v>0</v>
      </c>
      <c r="J13" s="321"/>
      <c r="K13" s="162">
        <v>0</v>
      </c>
      <c r="L13" s="163">
        <f t="shared" si="3"/>
        <v>0</v>
      </c>
      <c r="M13" s="322"/>
      <c r="N13" s="162">
        <v>0</v>
      </c>
      <c r="O13" s="163">
        <f t="shared" si="7"/>
        <v>0</v>
      </c>
      <c r="P13" s="322"/>
      <c r="Q13" s="322">
        <f t="shared" si="9"/>
        <v>0</v>
      </c>
      <c r="R13" s="322"/>
      <c r="S13" s="162"/>
      <c r="T13" s="163">
        <f t="shared" si="4"/>
        <v>0</v>
      </c>
    </row>
    <row r="14" spans="1:20" x14ac:dyDescent="0.2">
      <c r="A14" s="164" t="s">
        <v>167</v>
      </c>
      <c r="B14" s="155" t="s">
        <v>166</v>
      </c>
      <c r="C14" s="156">
        <v>98555.1</v>
      </c>
      <c r="D14" s="157">
        <f t="shared" si="0"/>
        <v>6.3266907175335415E-3</v>
      </c>
      <c r="E14" s="158">
        <v>91258.14</v>
      </c>
      <c r="F14" s="159">
        <f t="shared" si="1"/>
        <v>5.6403076401445049E-3</v>
      </c>
      <c r="G14" s="323">
        <f t="shared" si="10"/>
        <v>-7.4039395221556319</v>
      </c>
      <c r="H14" s="160">
        <v>98190.7</v>
      </c>
      <c r="I14" s="161">
        <f t="shared" si="2"/>
        <v>5.2176143370164978E-3</v>
      </c>
      <c r="J14" s="321">
        <f t="shared" si="5"/>
        <v>7.5966483647376526</v>
      </c>
      <c r="K14" s="162">
        <v>164645.03</v>
      </c>
      <c r="L14" s="163">
        <f t="shared" si="3"/>
        <v>7.810701318552311E-3</v>
      </c>
      <c r="M14" s="322">
        <f t="shared" si="6"/>
        <v>67.678843312044833</v>
      </c>
      <c r="N14" s="162">
        <v>196560.02</v>
      </c>
      <c r="O14" s="163">
        <f t="shared" si="7"/>
        <v>8.2039733587745637E-3</v>
      </c>
      <c r="P14" s="322">
        <f t="shared" si="8"/>
        <v>19.384119885064244</v>
      </c>
      <c r="Q14" s="322">
        <f t="shared" si="9"/>
        <v>19.384119885064244</v>
      </c>
      <c r="R14" s="322">
        <f t="shared" si="11"/>
        <v>99.441753902131879</v>
      </c>
      <c r="S14" s="162"/>
      <c r="T14" s="163">
        <f t="shared" si="4"/>
        <v>0</v>
      </c>
    </row>
    <row r="15" spans="1:20" x14ac:dyDescent="0.2">
      <c r="A15" s="164" t="s">
        <v>165</v>
      </c>
      <c r="B15" s="155" t="s">
        <v>164</v>
      </c>
      <c r="C15" s="156">
        <v>0</v>
      </c>
      <c r="D15" s="157">
        <f t="shared" si="0"/>
        <v>0</v>
      </c>
      <c r="E15" s="158">
        <v>0</v>
      </c>
      <c r="F15" s="159">
        <f t="shared" si="1"/>
        <v>0</v>
      </c>
      <c r="G15" s="323"/>
      <c r="H15" s="160">
        <v>0</v>
      </c>
      <c r="I15" s="161">
        <f t="shared" si="2"/>
        <v>0</v>
      </c>
      <c r="J15" s="321"/>
      <c r="K15" s="162">
        <v>0</v>
      </c>
      <c r="L15" s="163">
        <f t="shared" si="3"/>
        <v>0</v>
      </c>
      <c r="M15" s="322"/>
      <c r="N15" s="162">
        <v>0</v>
      </c>
      <c r="O15" s="163">
        <f t="shared" si="7"/>
        <v>0</v>
      </c>
      <c r="P15" s="322"/>
      <c r="Q15" s="322">
        <f t="shared" si="9"/>
        <v>0</v>
      </c>
      <c r="R15" s="322"/>
      <c r="S15" s="162"/>
      <c r="T15" s="163">
        <f t="shared" si="4"/>
        <v>0</v>
      </c>
    </row>
    <row r="16" spans="1:20" x14ac:dyDescent="0.2">
      <c r="A16" s="164" t="s">
        <v>163</v>
      </c>
      <c r="B16" s="155" t="s">
        <v>162</v>
      </c>
      <c r="C16" s="156">
        <v>1713121.07</v>
      </c>
      <c r="D16" s="157">
        <f t="shared" si="0"/>
        <v>0.1099728697102446</v>
      </c>
      <c r="E16" s="158">
        <v>1683685.81</v>
      </c>
      <c r="F16" s="159">
        <f t="shared" si="1"/>
        <v>0.10406201504595523</v>
      </c>
      <c r="G16" s="323">
        <f t="shared" si="10"/>
        <v>-1.7182241532993352</v>
      </c>
      <c r="H16" s="160">
        <v>2152925.35</v>
      </c>
      <c r="I16" s="161">
        <f t="shared" si="2"/>
        <v>0.11440120268707996</v>
      </c>
      <c r="J16" s="321">
        <f t="shared" si="5"/>
        <v>27.869780526332288</v>
      </c>
      <c r="K16" s="162">
        <v>2491178.7200000002</v>
      </c>
      <c r="L16" s="163">
        <f t="shared" si="3"/>
        <v>0.11818062721391262</v>
      </c>
      <c r="M16" s="322">
        <f t="shared" si="6"/>
        <v>15.711337599327358</v>
      </c>
      <c r="N16" s="162">
        <v>2261586.54</v>
      </c>
      <c r="O16" s="163">
        <f t="shared" si="7"/>
        <v>9.439353802834953E-2</v>
      </c>
      <c r="P16" s="322">
        <f t="shared" si="8"/>
        <v>-9.2162066959210431</v>
      </c>
      <c r="Q16" s="322">
        <f t="shared" si="9"/>
        <v>-9.2162066959210431</v>
      </c>
      <c r="R16" s="322">
        <f t="shared" si="11"/>
        <v>32.015569687669533</v>
      </c>
      <c r="S16" s="162"/>
      <c r="T16" s="163">
        <f t="shared" si="4"/>
        <v>0</v>
      </c>
    </row>
    <row r="17" spans="1:20" x14ac:dyDescent="0.2">
      <c r="A17" s="164" t="s">
        <v>161</v>
      </c>
      <c r="B17" s="155" t="s">
        <v>160</v>
      </c>
      <c r="C17" s="156">
        <v>5938.8</v>
      </c>
      <c r="D17" s="157">
        <f t="shared" si="0"/>
        <v>3.8123801643231243E-4</v>
      </c>
      <c r="E17" s="158">
        <v>0</v>
      </c>
      <c r="F17" s="159">
        <f t="shared" si="1"/>
        <v>0</v>
      </c>
      <c r="G17" s="323">
        <f t="shared" si="10"/>
        <v>-100</v>
      </c>
      <c r="H17" s="160">
        <v>3467.35</v>
      </c>
      <c r="I17" s="161">
        <f t="shared" si="2"/>
        <v>1.8424652305619731E-4</v>
      </c>
      <c r="J17" s="321"/>
      <c r="K17" s="162">
        <v>1611</v>
      </c>
      <c r="L17" s="163">
        <f t="shared" si="3"/>
        <v>7.6425263636489797E-5</v>
      </c>
      <c r="M17" s="322">
        <f t="shared" si="6"/>
        <v>-53.538004527953618</v>
      </c>
      <c r="N17" s="162">
        <v>1625.6</v>
      </c>
      <c r="O17" s="163">
        <f t="shared" si="7"/>
        <v>6.7848889575936803E-5</v>
      </c>
      <c r="P17" s="322">
        <f t="shared" si="8"/>
        <v>0.906269397889504</v>
      </c>
      <c r="Q17" s="322">
        <f t="shared" si="9"/>
        <v>0.906269397889504</v>
      </c>
      <c r="R17" s="322">
        <f t="shared" si="11"/>
        <v>-72.627466828315491</v>
      </c>
      <c r="S17" s="162"/>
      <c r="T17" s="163">
        <f t="shared" si="4"/>
        <v>0</v>
      </c>
    </row>
    <row r="18" spans="1:20" x14ac:dyDescent="0.2">
      <c r="A18" s="164" t="s">
        <v>159</v>
      </c>
      <c r="B18" s="155" t="s">
        <v>158</v>
      </c>
      <c r="C18" s="156">
        <v>0</v>
      </c>
      <c r="D18" s="157">
        <f t="shared" si="0"/>
        <v>0</v>
      </c>
      <c r="E18" s="158">
        <v>0</v>
      </c>
      <c r="F18" s="159">
        <f t="shared" si="1"/>
        <v>0</v>
      </c>
      <c r="G18" s="323"/>
      <c r="H18" s="160">
        <v>0</v>
      </c>
      <c r="I18" s="161">
        <f t="shared" si="2"/>
        <v>0</v>
      </c>
      <c r="J18" s="321"/>
      <c r="K18" s="162">
        <v>0</v>
      </c>
      <c r="L18" s="163">
        <f t="shared" si="3"/>
        <v>0</v>
      </c>
      <c r="M18" s="322"/>
      <c r="N18" s="162">
        <v>0</v>
      </c>
      <c r="O18" s="163">
        <f t="shared" si="7"/>
        <v>0</v>
      </c>
      <c r="P18" s="322"/>
      <c r="Q18" s="322">
        <f t="shared" si="9"/>
        <v>0</v>
      </c>
      <c r="R18" s="322"/>
      <c r="S18" s="162"/>
      <c r="T18" s="163">
        <f t="shared" si="4"/>
        <v>0</v>
      </c>
    </row>
    <row r="19" spans="1:20" x14ac:dyDescent="0.2">
      <c r="A19" s="164" t="s">
        <v>157</v>
      </c>
      <c r="B19" s="155" t="s">
        <v>156</v>
      </c>
      <c r="C19" s="156">
        <v>277.64999999999998</v>
      </c>
      <c r="D19" s="157">
        <f t="shared" si="0"/>
        <v>1.7823589826636953E-5</v>
      </c>
      <c r="E19" s="158">
        <v>200.5</v>
      </c>
      <c r="F19" s="159">
        <f t="shared" si="1"/>
        <v>1.2392118465804511E-5</v>
      </c>
      <c r="G19" s="323">
        <f t="shared" si="10"/>
        <v>-27.786781919683044</v>
      </c>
      <c r="H19" s="160">
        <v>0</v>
      </c>
      <c r="I19" s="161">
        <f t="shared" si="2"/>
        <v>0</v>
      </c>
      <c r="J19" s="321">
        <f t="shared" si="5"/>
        <v>-100</v>
      </c>
      <c r="K19" s="162">
        <v>105</v>
      </c>
      <c r="L19" s="163">
        <f t="shared" si="3"/>
        <v>4.9811624344080875E-6</v>
      </c>
      <c r="M19" s="322"/>
      <c r="N19" s="162">
        <v>884.64</v>
      </c>
      <c r="O19" s="163">
        <f t="shared" si="7"/>
        <v>3.6922884888322302E-5</v>
      </c>
      <c r="P19" s="322">
        <f>(N19-K19)/K19*100</f>
        <v>742.51428571428573</v>
      </c>
      <c r="Q19" s="322">
        <f t="shared" si="9"/>
        <v>742.51428571428573</v>
      </c>
      <c r="R19" s="322">
        <f t="shared" si="11"/>
        <v>218.61696380334953</v>
      </c>
      <c r="S19" s="162"/>
      <c r="T19" s="163">
        <f t="shared" si="4"/>
        <v>0</v>
      </c>
    </row>
    <row r="20" spans="1:20" x14ac:dyDescent="0.2">
      <c r="A20" s="164" t="s">
        <v>155</v>
      </c>
      <c r="B20" s="155" t="s">
        <v>154</v>
      </c>
      <c r="C20" s="156">
        <v>0</v>
      </c>
      <c r="D20" s="157">
        <f t="shared" si="0"/>
        <v>0</v>
      </c>
      <c r="E20" s="158">
        <v>0</v>
      </c>
      <c r="F20" s="159">
        <f t="shared" si="1"/>
        <v>0</v>
      </c>
      <c r="G20" s="323"/>
      <c r="H20" s="160">
        <v>0</v>
      </c>
      <c r="I20" s="161">
        <f t="shared" si="2"/>
        <v>0</v>
      </c>
      <c r="J20" s="321"/>
      <c r="K20" s="162">
        <v>0</v>
      </c>
      <c r="L20" s="163">
        <f t="shared" si="3"/>
        <v>0</v>
      </c>
      <c r="M20" s="322"/>
      <c r="N20" s="162">
        <v>0</v>
      </c>
      <c r="O20" s="163">
        <f t="shared" si="7"/>
        <v>0</v>
      </c>
      <c r="P20" s="322"/>
      <c r="Q20" s="322">
        <f t="shared" si="9"/>
        <v>0</v>
      </c>
      <c r="R20" s="322"/>
      <c r="S20" s="162"/>
      <c r="T20" s="163">
        <f t="shared" si="4"/>
        <v>0</v>
      </c>
    </row>
    <row r="21" spans="1:20" x14ac:dyDescent="0.2">
      <c r="A21" s="164" t="s">
        <v>153</v>
      </c>
      <c r="B21" s="155" t="s">
        <v>152</v>
      </c>
      <c r="C21" s="156">
        <v>117899.52</v>
      </c>
      <c r="D21" s="157">
        <f t="shared" si="0"/>
        <v>7.5684951746349009E-3</v>
      </c>
      <c r="E21" s="158">
        <v>152459.97</v>
      </c>
      <c r="F21" s="159">
        <f t="shared" si="1"/>
        <v>9.4229526660000087E-3</v>
      </c>
      <c r="G21" s="323">
        <f t="shared" si="10"/>
        <v>29.313478121030517</v>
      </c>
      <c r="H21" s="160">
        <v>170574.03</v>
      </c>
      <c r="I21" s="161">
        <f t="shared" si="2"/>
        <v>9.0638879695397051E-3</v>
      </c>
      <c r="J21" s="321">
        <f t="shared" si="5"/>
        <v>11.881190846357898</v>
      </c>
      <c r="K21" s="162">
        <v>195202.71</v>
      </c>
      <c r="L21" s="163">
        <f t="shared" si="3"/>
        <v>9.2603467252062466E-3</v>
      </c>
      <c r="M21" s="322">
        <f t="shared" si="6"/>
        <v>14.438704414734174</v>
      </c>
      <c r="N21" s="162">
        <v>412613.92</v>
      </c>
      <c r="O21" s="163">
        <f t="shared" si="7"/>
        <v>1.7221577445604343E-2</v>
      </c>
      <c r="P21" s="322">
        <f t="shared" si="8"/>
        <v>111.37714737669369</v>
      </c>
      <c r="Q21" s="322">
        <f t="shared" si="9"/>
        <v>111.37714737669369</v>
      </c>
      <c r="R21" s="322">
        <f t="shared" si="11"/>
        <v>249.9708226123397</v>
      </c>
      <c r="S21" s="162"/>
      <c r="T21" s="163">
        <f t="shared" si="4"/>
        <v>0</v>
      </c>
    </row>
    <row r="22" spans="1:20" x14ac:dyDescent="0.2">
      <c r="A22" s="164" t="s">
        <v>151</v>
      </c>
      <c r="B22" s="155" t="s">
        <v>150</v>
      </c>
      <c r="C22" s="156">
        <v>0</v>
      </c>
      <c r="D22" s="157">
        <f t="shared" si="0"/>
        <v>0</v>
      </c>
      <c r="E22" s="158">
        <v>0</v>
      </c>
      <c r="F22" s="159">
        <f t="shared" si="1"/>
        <v>0</v>
      </c>
      <c r="G22" s="323"/>
      <c r="H22" s="160">
        <v>0</v>
      </c>
      <c r="I22" s="161">
        <f t="shared" si="2"/>
        <v>0</v>
      </c>
      <c r="J22" s="321"/>
      <c r="K22" s="162">
        <v>0</v>
      </c>
      <c r="L22" s="163">
        <f t="shared" si="3"/>
        <v>0</v>
      </c>
      <c r="M22" s="322"/>
      <c r="N22" s="162">
        <v>0</v>
      </c>
      <c r="O22" s="163">
        <f t="shared" si="7"/>
        <v>0</v>
      </c>
      <c r="P22" s="322"/>
      <c r="Q22" s="322">
        <f t="shared" si="9"/>
        <v>0</v>
      </c>
      <c r="R22" s="322"/>
      <c r="S22" s="162"/>
      <c r="T22" s="163">
        <f t="shared" si="4"/>
        <v>0</v>
      </c>
    </row>
    <row r="23" spans="1:20" x14ac:dyDescent="0.2">
      <c r="A23" s="164" t="s">
        <v>149</v>
      </c>
      <c r="B23" s="155" t="s">
        <v>148</v>
      </c>
      <c r="C23" s="156">
        <v>2622282.81</v>
      </c>
      <c r="D23" s="157">
        <f t="shared" si="0"/>
        <v>0.16833601013823507</v>
      </c>
      <c r="E23" s="158">
        <v>2647591.5299999998</v>
      </c>
      <c r="F23" s="159">
        <f t="shared" si="1"/>
        <v>0.16363724632828236</v>
      </c>
      <c r="G23" s="323">
        <f t="shared" si="10"/>
        <v>0.96514075077965145</v>
      </c>
      <c r="H23" s="160">
        <v>3091208.45</v>
      </c>
      <c r="I23" s="161">
        <f t="shared" si="2"/>
        <v>0.16425927839832638</v>
      </c>
      <c r="J23" s="321">
        <f t="shared" si="5"/>
        <v>16.755489469329145</v>
      </c>
      <c r="K23" s="162">
        <v>3228353.14</v>
      </c>
      <c r="L23" s="163">
        <f t="shared" si="3"/>
        <v>0.15315191796163233</v>
      </c>
      <c r="M23" s="322">
        <f t="shared" si="6"/>
        <v>4.4366043965750652</v>
      </c>
      <c r="N23" s="162">
        <v>4094406.85</v>
      </c>
      <c r="O23" s="163">
        <f t="shared" si="7"/>
        <v>0.17089133750283542</v>
      </c>
      <c r="P23" s="322">
        <f t="shared" si="8"/>
        <v>26.82648621271959</v>
      </c>
      <c r="Q23" s="322">
        <f t="shared" si="9"/>
        <v>26.82648621271959</v>
      </c>
      <c r="R23" s="322">
        <f t="shared" si="11"/>
        <v>56.139026438570902</v>
      </c>
      <c r="S23" s="162"/>
      <c r="T23" s="163">
        <f t="shared" si="4"/>
        <v>0</v>
      </c>
    </row>
    <row r="24" spans="1:20" x14ac:dyDescent="0.2">
      <c r="A24" s="164" t="s">
        <v>147</v>
      </c>
      <c r="B24" s="155" t="s">
        <v>146</v>
      </c>
      <c r="C24" s="156">
        <v>168868.49</v>
      </c>
      <c r="D24" s="157">
        <f t="shared" si="0"/>
        <v>1.0840420314797566E-2</v>
      </c>
      <c r="E24" s="158">
        <v>178973.62</v>
      </c>
      <c r="F24" s="159">
        <f t="shared" si="1"/>
        <v>1.1061657363061743E-2</v>
      </c>
      <c r="G24" s="323">
        <f t="shared" si="10"/>
        <v>5.984023425566253</v>
      </c>
      <c r="H24" s="160">
        <v>207225.72</v>
      </c>
      <c r="I24" s="161">
        <f t="shared" si="2"/>
        <v>1.1011469392422769E-2</v>
      </c>
      <c r="J24" s="321">
        <f t="shared" si="5"/>
        <v>15.785622484475647</v>
      </c>
      <c r="K24" s="162">
        <v>234110.94</v>
      </c>
      <c r="L24" s="163">
        <f t="shared" si="3"/>
        <v>1.1106139236304435E-2</v>
      </c>
      <c r="M24" s="322">
        <f t="shared" si="6"/>
        <v>12.973881813512339</v>
      </c>
      <c r="N24" s="162">
        <v>260767.07</v>
      </c>
      <c r="O24" s="163">
        <f t="shared" si="7"/>
        <v>1.088383128535346E-2</v>
      </c>
      <c r="P24" s="322">
        <f t="shared" si="8"/>
        <v>11.386110362890348</v>
      </c>
      <c r="Q24" s="322">
        <f t="shared" si="9"/>
        <v>11.386110362890348</v>
      </c>
      <c r="R24" s="322">
        <f t="shared" si="11"/>
        <v>54.420205924740614</v>
      </c>
      <c r="S24" s="162"/>
      <c r="T24" s="163">
        <f t="shared" si="4"/>
        <v>0</v>
      </c>
    </row>
    <row r="25" spans="1:20" x14ac:dyDescent="0.2">
      <c r="A25" s="164" t="s">
        <v>145</v>
      </c>
      <c r="B25" s="155" t="s">
        <v>144</v>
      </c>
      <c r="C25" s="156">
        <v>0</v>
      </c>
      <c r="D25" s="157">
        <f t="shared" si="0"/>
        <v>0</v>
      </c>
      <c r="E25" s="158">
        <v>0</v>
      </c>
      <c r="F25" s="159">
        <f t="shared" si="1"/>
        <v>0</v>
      </c>
      <c r="G25" s="323"/>
      <c r="H25" s="160">
        <v>0</v>
      </c>
      <c r="I25" s="161">
        <f t="shared" si="2"/>
        <v>0</v>
      </c>
      <c r="J25" s="321"/>
      <c r="K25" s="162">
        <v>0</v>
      </c>
      <c r="L25" s="163">
        <f t="shared" si="3"/>
        <v>0</v>
      </c>
      <c r="M25" s="322"/>
      <c r="N25" s="162">
        <v>0</v>
      </c>
      <c r="O25" s="163">
        <f t="shared" si="7"/>
        <v>0</v>
      </c>
      <c r="P25" s="322"/>
      <c r="Q25" s="322">
        <f t="shared" si="9"/>
        <v>0</v>
      </c>
      <c r="R25" s="322"/>
      <c r="S25" s="162"/>
      <c r="T25" s="163">
        <f t="shared" si="4"/>
        <v>0</v>
      </c>
    </row>
    <row r="26" spans="1:20" x14ac:dyDescent="0.2">
      <c r="A26" s="164" t="s">
        <v>143</v>
      </c>
      <c r="B26" s="155" t="s">
        <v>142</v>
      </c>
      <c r="C26" s="156">
        <v>72581.66</v>
      </c>
      <c r="D26" s="157">
        <f t="shared" si="0"/>
        <v>4.6593399487715554E-3</v>
      </c>
      <c r="E26" s="158">
        <v>54568.29</v>
      </c>
      <c r="F26" s="159">
        <f t="shared" si="1"/>
        <v>3.3726519409295543E-3</v>
      </c>
      <c r="G26" s="323">
        <f t="shared" si="10"/>
        <v>-24.818073877064815</v>
      </c>
      <c r="H26" s="160">
        <v>7578.15</v>
      </c>
      <c r="I26" s="161">
        <f t="shared" si="2"/>
        <v>4.0268440990910107E-4</v>
      </c>
      <c r="J26" s="321">
        <f t="shared" si="5"/>
        <v>-86.112538985553698</v>
      </c>
      <c r="K26" s="162">
        <v>55090.62</v>
      </c>
      <c r="L26" s="163">
        <f t="shared" si="3"/>
        <v>2.6134793031642942E-3</v>
      </c>
      <c r="M26" s="322">
        <f t="shared" si="6"/>
        <v>626.96660794521097</v>
      </c>
      <c r="N26" s="162">
        <v>61167.21</v>
      </c>
      <c r="O26" s="163">
        <f t="shared" si="7"/>
        <v>2.5529818386799568E-3</v>
      </c>
      <c r="P26" s="322">
        <f t="shared" si="8"/>
        <v>11.030171742485374</v>
      </c>
      <c r="Q26" s="322">
        <f t="shared" si="9"/>
        <v>11.030171742485374</v>
      </c>
      <c r="R26" s="322">
        <f t="shared" si="11"/>
        <v>-15.726355666155891</v>
      </c>
      <c r="S26" s="162"/>
      <c r="T26" s="163">
        <f t="shared" si="4"/>
        <v>0</v>
      </c>
    </row>
    <row r="27" spans="1:20" x14ac:dyDescent="0.2">
      <c r="A27" s="164" t="s">
        <v>141</v>
      </c>
      <c r="B27" s="155" t="s">
        <v>140</v>
      </c>
      <c r="C27" s="156">
        <v>680</v>
      </c>
      <c r="D27" s="157">
        <f t="shared" si="0"/>
        <v>4.3652227920450669E-5</v>
      </c>
      <c r="E27" s="158">
        <v>286</v>
      </c>
      <c r="F27" s="159">
        <f t="shared" si="1"/>
        <v>1.7676538060948079E-5</v>
      </c>
      <c r="G27" s="323">
        <f t="shared" si="10"/>
        <v>-57.941176470588239</v>
      </c>
      <c r="H27" s="160">
        <v>811</v>
      </c>
      <c r="I27" s="161">
        <f t="shared" si="2"/>
        <v>4.3094562186850483E-5</v>
      </c>
      <c r="J27" s="321">
        <f t="shared" si="5"/>
        <v>183.56643356643357</v>
      </c>
      <c r="K27" s="162">
        <v>200</v>
      </c>
      <c r="L27" s="163">
        <f t="shared" si="3"/>
        <v>9.4879284464915962E-6</v>
      </c>
      <c r="M27" s="322">
        <f t="shared" si="6"/>
        <v>-75.339087546239213</v>
      </c>
      <c r="N27" s="162">
        <v>0</v>
      </c>
      <c r="O27" s="163">
        <f t="shared" si="7"/>
        <v>0</v>
      </c>
      <c r="P27" s="322">
        <f t="shared" si="8"/>
        <v>-100</v>
      </c>
      <c r="Q27" s="322">
        <f t="shared" si="9"/>
        <v>-100</v>
      </c>
      <c r="R27" s="322">
        <f t="shared" si="11"/>
        <v>-100</v>
      </c>
      <c r="S27" s="162"/>
      <c r="T27" s="163">
        <f t="shared" si="4"/>
        <v>0</v>
      </c>
    </row>
    <row r="28" spans="1:20" ht="13.5" thickBot="1" x14ac:dyDescent="0.25">
      <c r="A28" s="164"/>
      <c r="B28" s="155" t="s">
        <v>139</v>
      </c>
      <c r="C28" s="156">
        <v>1688876</v>
      </c>
      <c r="D28" s="157">
        <f t="shared" si="0"/>
        <v>0.10841647070791037</v>
      </c>
      <c r="E28" s="158">
        <v>1723529</v>
      </c>
      <c r="F28" s="159">
        <f t="shared" si="1"/>
        <v>0.1065245663204468</v>
      </c>
      <c r="G28" s="323">
        <f t="shared" si="10"/>
        <v>2.0518380271849441</v>
      </c>
      <c r="H28" s="160">
        <v>1955866</v>
      </c>
      <c r="I28" s="161">
        <f t="shared" si="2"/>
        <v>0.10392994940338657</v>
      </c>
      <c r="J28" s="321">
        <f t="shared" si="5"/>
        <v>13.480306974817365</v>
      </c>
      <c r="K28" s="162">
        <v>2877582</v>
      </c>
      <c r="L28" s="163">
        <f t="shared" si="3"/>
        <v>0.1365114605745609</v>
      </c>
      <c r="M28" s="322">
        <f t="shared" si="6"/>
        <v>47.125723336874813</v>
      </c>
      <c r="N28" s="162">
        <v>2853183.81</v>
      </c>
      <c r="O28" s="163">
        <f t="shared" si="7"/>
        <v>0.11908547814009637</v>
      </c>
      <c r="P28" s="322">
        <f t="shared" si="8"/>
        <v>-0.84787123355650496</v>
      </c>
      <c r="Q28" s="322">
        <f t="shared" si="9"/>
        <v>-0.84787123355650496</v>
      </c>
      <c r="R28" s="322">
        <f t="shared" si="11"/>
        <v>68.939804343243665</v>
      </c>
      <c r="S28" s="162"/>
      <c r="T28" s="163">
        <f t="shared" si="4"/>
        <v>0</v>
      </c>
    </row>
    <row r="29" spans="1:20" ht="13.5" thickBot="1" x14ac:dyDescent="0.25">
      <c r="A29" s="164"/>
      <c r="B29" s="165" t="s">
        <v>138</v>
      </c>
      <c r="C29" s="166">
        <f>SUM(C5:C28)</f>
        <v>14564814.41</v>
      </c>
      <c r="D29" s="167">
        <f t="shared" si="0"/>
        <v>0.93498029153585926</v>
      </c>
      <c r="E29" s="168">
        <f>SUM(E5:E28)</f>
        <v>15303486.469999999</v>
      </c>
      <c r="F29" s="169">
        <f t="shared" si="1"/>
        <v>0.94584846521733901</v>
      </c>
      <c r="G29" s="324">
        <f t="shared" si="10"/>
        <v>5.0716201333319884</v>
      </c>
      <c r="H29" s="170">
        <f>SUM(H5:H28)</f>
        <v>18131620.02</v>
      </c>
      <c r="I29" s="171">
        <f t="shared" si="2"/>
        <v>0.96347006966736526</v>
      </c>
      <c r="J29" s="325">
        <f t="shared" si="5"/>
        <v>18.480321824337857</v>
      </c>
      <c r="K29" s="172">
        <f>SUM(K5:K28)</f>
        <v>20177861.810000002</v>
      </c>
      <c r="L29" s="173">
        <f t="shared" si="3"/>
        <v>0.95723054528237705</v>
      </c>
      <c r="M29" s="326">
        <f t="shared" si="6"/>
        <v>11.285487936229115</v>
      </c>
      <c r="N29" s="172">
        <f>SUM(N5:N28)</f>
        <v>20132535.129999999</v>
      </c>
      <c r="O29" s="173">
        <f t="shared" si="7"/>
        <v>0.84028675745511716</v>
      </c>
      <c r="P29" s="326">
        <f t="shared" si="8"/>
        <v>-0.22463569443983331</v>
      </c>
      <c r="Q29" s="326">
        <f>P29</f>
        <v>-0.22463569443983331</v>
      </c>
      <c r="R29" s="326">
        <f>(N29-C29)/C29*100</f>
        <v>38.227199902920006</v>
      </c>
      <c r="S29" s="172">
        <f>SUM(S5:S28)</f>
        <v>0</v>
      </c>
      <c r="T29" s="173">
        <f t="shared" si="4"/>
        <v>0</v>
      </c>
    </row>
    <row r="30" spans="1:20" ht="13.5" thickBot="1" x14ac:dyDescent="0.25">
      <c r="A30" s="164"/>
      <c r="C30" s="174"/>
      <c r="D30" s="174"/>
      <c r="E30" s="174"/>
      <c r="F30" s="174"/>
      <c r="G30" s="174"/>
      <c r="H30" s="174"/>
      <c r="I30" s="174"/>
      <c r="J30" s="174"/>
      <c r="K30" s="175"/>
      <c r="N30" s="175"/>
      <c r="S30" s="175"/>
    </row>
    <row r="31" spans="1:20" ht="13.5" thickBot="1" x14ac:dyDescent="0.25">
      <c r="A31" s="164" t="s">
        <v>137</v>
      </c>
      <c r="B31" s="176" t="s">
        <v>136</v>
      </c>
      <c r="C31" s="177">
        <v>1012855.56</v>
      </c>
      <c r="D31" s="177"/>
      <c r="E31" s="178">
        <v>876152.27</v>
      </c>
      <c r="F31" s="178"/>
      <c r="G31" s="178"/>
      <c r="H31" s="179">
        <v>687459.67</v>
      </c>
      <c r="I31" s="179"/>
      <c r="J31" s="179"/>
      <c r="K31" s="180">
        <v>901555.17</v>
      </c>
      <c r="L31" s="181"/>
      <c r="M31" s="181"/>
      <c r="N31" s="180">
        <v>3826589.48</v>
      </c>
      <c r="O31" s="181"/>
      <c r="P31" s="181"/>
      <c r="Q31" s="181"/>
      <c r="R31" s="181"/>
      <c r="S31" s="180"/>
      <c r="T31" s="182"/>
    </row>
    <row r="32" spans="1:20" ht="13.5" thickBot="1" x14ac:dyDescent="0.25">
      <c r="A32" s="164"/>
      <c r="B32" s="165" t="s">
        <v>135</v>
      </c>
      <c r="C32" s="166">
        <f>SUM(C31:C31)</f>
        <v>1012855.56</v>
      </c>
      <c r="D32" s="167">
        <f>C32/$C$34</f>
        <v>6.5019708464140735E-2</v>
      </c>
      <c r="E32" s="168">
        <f>SUM(E31:E31)</f>
        <v>876152.27</v>
      </c>
      <c r="F32" s="169">
        <f>E32/$E$34</f>
        <v>5.4151534782661041E-2</v>
      </c>
      <c r="G32" s="324">
        <f t="shared" ref="G32:G34" si="12">(E32-C32)/C32*100</f>
        <v>-13.496819822956793</v>
      </c>
      <c r="H32" s="170">
        <f>SUM(H31:H31)</f>
        <v>687459.67</v>
      </c>
      <c r="I32" s="171">
        <f>H32/$H$34</f>
        <v>3.6529930332634665E-2</v>
      </c>
      <c r="J32" s="325">
        <f t="shared" ref="J32:J34" si="13">(H32-E32)/E32*100</f>
        <v>-21.536507575332763</v>
      </c>
      <c r="K32" s="172">
        <f>SUM(K31:K31)</f>
        <v>901555.17</v>
      </c>
      <c r="L32" s="173">
        <f>K32/$K$34</f>
        <v>4.2769454717622835E-2</v>
      </c>
      <c r="M32" s="326">
        <f t="shared" ref="M32" si="14">(K32-H32)/H32*100</f>
        <v>31.142990540812377</v>
      </c>
      <c r="N32" s="172">
        <f>SUM(N31:N31)</f>
        <v>3826589.48</v>
      </c>
      <c r="O32" s="173">
        <f>N32/N34</f>
        <v>0.15971324254488278</v>
      </c>
      <c r="P32" s="326">
        <f t="shared" ref="P32" si="15">(N32-K32)/K32*100</f>
        <v>324.44318521294707</v>
      </c>
      <c r="Q32" s="326">
        <f>P32</f>
        <v>324.44318521294707</v>
      </c>
      <c r="R32" s="326">
        <f>(N32-C32)/C32*100</f>
        <v>277.80209055672259</v>
      </c>
      <c r="S32" s="172">
        <f>SUM(S31:S31)</f>
        <v>0</v>
      </c>
      <c r="T32" s="173">
        <f>S32/$K$34</f>
        <v>0</v>
      </c>
    </row>
    <row r="33" spans="1:20" ht="13.5" thickBot="1" x14ac:dyDescent="0.25">
      <c r="A33" s="164"/>
      <c r="C33" s="174"/>
      <c r="D33" s="174"/>
      <c r="E33" s="174"/>
      <c r="F33" s="174"/>
      <c r="G33" s="174"/>
      <c r="H33" s="174"/>
      <c r="I33" s="174"/>
      <c r="J33" s="174"/>
      <c r="K33" s="183"/>
      <c r="L33" s="184"/>
      <c r="M33" s="184"/>
      <c r="N33" s="183"/>
      <c r="O33" s="184"/>
      <c r="P33" s="184"/>
      <c r="Q33" s="184"/>
      <c r="R33" s="184"/>
      <c r="S33" s="183"/>
      <c r="T33" s="184"/>
    </row>
    <row r="34" spans="1:20" ht="13.5" thickBot="1" x14ac:dyDescent="0.25">
      <c r="A34" s="185"/>
      <c r="B34" s="165" t="s">
        <v>134</v>
      </c>
      <c r="C34" s="166">
        <f>C29+C32</f>
        <v>15577669.970000001</v>
      </c>
      <c r="D34" s="167">
        <f>C34/$C$34</f>
        <v>1</v>
      </c>
      <c r="E34" s="168">
        <f>E29+E32</f>
        <v>16179638.739999998</v>
      </c>
      <c r="F34" s="169">
        <f>E34/$E$34</f>
        <v>1</v>
      </c>
      <c r="G34" s="324">
        <f t="shared" si="12"/>
        <v>3.8643055807401834</v>
      </c>
      <c r="H34" s="170">
        <f>H29+H32</f>
        <v>18819079.690000001</v>
      </c>
      <c r="I34" s="171">
        <f>H34/$H$34</f>
        <v>1</v>
      </c>
      <c r="J34" s="325">
        <f t="shared" si="13"/>
        <v>16.313349095209794</v>
      </c>
      <c r="K34" s="186">
        <f>K29+K32</f>
        <v>21079416.980000004</v>
      </c>
      <c r="L34" s="173">
        <f>K34/$K$34</f>
        <v>1</v>
      </c>
      <c r="M34" s="326">
        <f t="shared" ref="M34" si="16">(K34-H34)/H34*100</f>
        <v>12.010881122954652</v>
      </c>
      <c r="N34" s="186">
        <f>N29+N32</f>
        <v>23959124.609999999</v>
      </c>
      <c r="O34" s="173">
        <f>N34/N34</f>
        <v>1</v>
      </c>
      <c r="P34" s="326">
        <f t="shared" ref="P34" si="17">(N34-K34)/K34*100</f>
        <v>13.661229970127925</v>
      </c>
      <c r="Q34" s="326">
        <f>P34</f>
        <v>13.661229970127925</v>
      </c>
      <c r="R34" s="326">
        <f>(N34-C34)/C34*100</f>
        <v>53.804289448558642</v>
      </c>
      <c r="S34" s="186">
        <f>S29+S32</f>
        <v>0</v>
      </c>
      <c r="T34" s="173">
        <f>S34/$K$34</f>
        <v>0</v>
      </c>
    </row>
    <row r="35" spans="1:20" x14ac:dyDescent="0.2">
      <c r="C35" s="187"/>
      <c r="D35" s="187"/>
      <c r="E35" s="187"/>
      <c r="F35" s="187"/>
      <c r="G35" s="187"/>
      <c r="H35" s="174"/>
      <c r="I35" s="174"/>
      <c r="J35" s="174"/>
      <c r="K35" s="175"/>
    </row>
    <row r="36" spans="1:20" x14ac:dyDescent="0.2">
      <c r="C36" s="187"/>
      <c r="D36" s="187"/>
      <c r="E36" s="187"/>
      <c r="F36" s="187"/>
      <c r="G36" s="187"/>
      <c r="H36" s="174"/>
      <c r="I36" s="174"/>
      <c r="J36" s="174"/>
      <c r="K36" s="175"/>
    </row>
    <row r="37" spans="1:20" x14ac:dyDescent="0.2">
      <c r="C37" s="187"/>
      <c r="D37" s="187"/>
      <c r="E37" s="187"/>
      <c r="F37" s="187"/>
      <c r="G37" s="187"/>
      <c r="H37" s="187"/>
      <c r="I37" s="187"/>
      <c r="J37" s="187"/>
      <c r="K37" s="187"/>
      <c r="N37" s="287"/>
    </row>
    <row r="38" spans="1:20" x14ac:dyDescent="0.2">
      <c r="C38" s="187"/>
      <c r="D38" s="187"/>
      <c r="E38" s="318"/>
      <c r="F38" s="187"/>
      <c r="G38" s="187"/>
      <c r="H38" s="187"/>
      <c r="I38" s="187"/>
      <c r="J38" s="187"/>
      <c r="K38" s="187"/>
      <c r="N38" s="287"/>
    </row>
    <row r="39" spans="1:20" x14ac:dyDescent="0.2">
      <c r="C39" s="187"/>
      <c r="D39" s="187"/>
      <c r="E39" s="187"/>
      <c r="F39" s="187"/>
      <c r="G39" s="187"/>
      <c r="H39" s="187"/>
      <c r="I39" s="187"/>
      <c r="J39" s="187"/>
      <c r="K39" s="187"/>
    </row>
    <row r="40" spans="1:20" x14ac:dyDescent="0.2">
      <c r="C40" s="187"/>
      <c r="D40" s="187"/>
      <c r="E40" s="187"/>
      <c r="F40" s="187"/>
      <c r="G40" s="187"/>
      <c r="H40" s="187"/>
      <c r="I40" s="187"/>
      <c r="J40" s="187"/>
      <c r="K40" s="187"/>
    </row>
    <row r="41" spans="1:20" x14ac:dyDescent="0.2">
      <c r="C41" s="187"/>
      <c r="D41" s="187"/>
      <c r="E41" s="187"/>
      <c r="F41" s="187"/>
      <c r="G41" s="187"/>
      <c r="H41" s="187"/>
      <c r="I41" s="187"/>
      <c r="J41" s="187"/>
      <c r="K41" s="187"/>
    </row>
    <row r="42" spans="1:20" x14ac:dyDescent="0.2">
      <c r="C42" s="187"/>
      <c r="D42" s="187"/>
      <c r="E42" s="187"/>
      <c r="F42" s="187"/>
      <c r="G42" s="187"/>
      <c r="H42" s="187"/>
      <c r="I42" s="187"/>
      <c r="J42" s="187"/>
      <c r="K42" s="187"/>
    </row>
    <row r="43" spans="1:20" x14ac:dyDescent="0.2">
      <c r="C43" s="187"/>
      <c r="D43" s="187"/>
      <c r="E43" s="187"/>
      <c r="F43" s="187"/>
      <c r="G43" s="187"/>
      <c r="H43" s="187"/>
      <c r="I43" s="187"/>
      <c r="J43" s="187"/>
      <c r="K43" s="187"/>
    </row>
    <row r="44" spans="1:20" x14ac:dyDescent="0.2">
      <c r="C44" s="187"/>
      <c r="D44" s="187"/>
      <c r="E44" s="187"/>
      <c r="F44" s="187"/>
      <c r="G44" s="187"/>
      <c r="H44" s="187"/>
      <c r="I44" s="187"/>
      <c r="J44" s="187"/>
      <c r="K44" s="187"/>
    </row>
    <row r="45" spans="1:20" x14ac:dyDescent="0.2">
      <c r="C45" s="187"/>
      <c r="D45" s="187"/>
      <c r="E45" s="187"/>
      <c r="F45" s="187"/>
      <c r="G45" s="187"/>
      <c r="H45" s="187"/>
      <c r="I45" s="187"/>
      <c r="J45" s="187"/>
      <c r="K45" s="187"/>
    </row>
    <row r="46" spans="1:20" x14ac:dyDescent="0.2">
      <c r="C46" s="187"/>
      <c r="D46" s="187"/>
      <c r="E46" s="187"/>
      <c r="F46" s="187"/>
      <c r="G46" s="187"/>
      <c r="H46" s="187"/>
      <c r="I46" s="187"/>
      <c r="J46" s="187"/>
      <c r="K46" s="187"/>
    </row>
    <row r="47" spans="1:20" x14ac:dyDescent="0.2">
      <c r="C47" s="187"/>
      <c r="D47" s="187"/>
      <c r="E47" s="187"/>
      <c r="F47" s="187"/>
      <c r="G47" s="187"/>
      <c r="H47" s="187"/>
      <c r="I47" s="187"/>
      <c r="J47" s="187"/>
      <c r="K47" s="187"/>
    </row>
    <row r="48" spans="1:20" x14ac:dyDescent="0.2">
      <c r="C48" s="187"/>
      <c r="D48" s="187"/>
      <c r="E48" s="187"/>
      <c r="F48" s="187"/>
      <c r="G48" s="187"/>
      <c r="H48" s="187"/>
      <c r="I48" s="187"/>
      <c r="J48" s="187"/>
      <c r="K48" s="187"/>
    </row>
    <row r="49" spans="1:11" x14ac:dyDescent="0.2">
      <c r="C49" s="187"/>
      <c r="D49" s="187"/>
      <c r="E49" s="187"/>
      <c r="F49" s="187"/>
      <c r="G49" s="187"/>
      <c r="H49" s="187"/>
      <c r="I49" s="187"/>
      <c r="J49" s="187"/>
      <c r="K49" s="187"/>
    </row>
    <row r="50" spans="1:11" x14ac:dyDescent="0.2">
      <c r="A50" s="1"/>
      <c r="C50" s="187"/>
      <c r="D50" s="187"/>
      <c r="E50" s="187"/>
      <c r="F50" s="187"/>
      <c r="G50" s="187"/>
      <c r="H50" s="187"/>
      <c r="I50" s="187"/>
      <c r="J50" s="187"/>
      <c r="K50" s="187"/>
    </row>
    <row r="51" spans="1:11" x14ac:dyDescent="0.2">
      <c r="A51" s="1"/>
      <c r="C51" s="187"/>
      <c r="D51" s="187"/>
      <c r="E51" s="187"/>
      <c r="F51" s="187"/>
      <c r="G51" s="187"/>
      <c r="H51" s="187"/>
      <c r="I51" s="187"/>
      <c r="J51" s="187"/>
      <c r="K51" s="187"/>
    </row>
    <row r="52" spans="1:11" x14ac:dyDescent="0.2">
      <c r="A52" s="1"/>
      <c r="C52" s="187"/>
      <c r="D52" s="187"/>
      <c r="E52" s="187"/>
      <c r="F52" s="187"/>
      <c r="G52" s="187"/>
      <c r="H52" s="187"/>
      <c r="I52" s="187"/>
      <c r="J52" s="187"/>
      <c r="K52" s="187"/>
    </row>
    <row r="53" spans="1:11" x14ac:dyDescent="0.2">
      <c r="A53" s="1"/>
      <c r="C53" s="187"/>
      <c r="D53" s="187"/>
      <c r="E53" s="187"/>
      <c r="F53" s="187"/>
      <c r="G53" s="187"/>
      <c r="H53" s="187"/>
      <c r="I53" s="187"/>
      <c r="J53" s="187"/>
      <c r="K53" s="187"/>
    </row>
    <row r="54" spans="1:11" x14ac:dyDescent="0.2">
      <c r="A54" s="1"/>
      <c r="C54" s="187"/>
      <c r="D54" s="187"/>
      <c r="E54" s="187"/>
      <c r="F54" s="187"/>
      <c r="G54" s="187"/>
      <c r="H54" s="187"/>
      <c r="I54" s="187"/>
      <c r="J54" s="187"/>
      <c r="K54" s="187"/>
    </row>
    <row r="55" spans="1:11" x14ac:dyDescent="0.2">
      <c r="A55" s="1"/>
      <c r="C55" s="187"/>
      <c r="D55" s="187"/>
      <c r="E55" s="187"/>
      <c r="F55" s="187"/>
      <c r="G55" s="187"/>
      <c r="H55" s="187"/>
      <c r="I55" s="187"/>
      <c r="J55" s="187"/>
      <c r="K55" s="187"/>
    </row>
    <row r="56" spans="1:11" x14ac:dyDescent="0.2">
      <c r="A56" s="1"/>
      <c r="C56" s="187"/>
      <c r="D56" s="187"/>
      <c r="E56" s="187"/>
      <c r="F56" s="187"/>
      <c r="G56" s="187"/>
      <c r="H56" s="187"/>
      <c r="I56" s="187"/>
      <c r="J56" s="187"/>
      <c r="K56" s="187"/>
    </row>
    <row r="57" spans="1:11" x14ac:dyDescent="0.2">
      <c r="A57" s="1"/>
      <c r="C57" s="187"/>
      <c r="D57" s="187"/>
      <c r="E57" s="187"/>
      <c r="F57" s="187"/>
      <c r="G57" s="187"/>
      <c r="H57" s="187"/>
      <c r="I57" s="187"/>
      <c r="J57" s="187"/>
      <c r="K57" s="187"/>
    </row>
    <row r="58" spans="1:11" x14ac:dyDescent="0.2">
      <c r="A58" s="1"/>
      <c r="C58" s="187"/>
      <c r="D58" s="187"/>
      <c r="E58" s="187"/>
      <c r="F58" s="187"/>
      <c r="G58" s="187"/>
      <c r="H58" s="187"/>
      <c r="I58" s="187"/>
      <c r="J58" s="187"/>
      <c r="K58" s="187"/>
    </row>
    <row r="59" spans="1:11" x14ac:dyDescent="0.2">
      <c r="A59" s="1"/>
      <c r="C59" s="187"/>
      <c r="D59" s="187"/>
      <c r="E59" s="187"/>
      <c r="F59" s="187"/>
      <c r="G59" s="187"/>
      <c r="H59" s="187"/>
      <c r="I59" s="187"/>
      <c r="J59" s="187"/>
      <c r="K59" s="187"/>
    </row>
    <row r="60" spans="1:11" x14ac:dyDescent="0.2">
      <c r="A60" s="1"/>
      <c r="C60" s="187"/>
      <c r="D60" s="187"/>
      <c r="E60" s="187"/>
      <c r="F60" s="187"/>
      <c r="G60" s="187"/>
      <c r="H60" s="187"/>
      <c r="I60" s="187"/>
      <c r="J60" s="187"/>
      <c r="K60" s="187"/>
    </row>
    <row r="61" spans="1:11" x14ac:dyDescent="0.2">
      <c r="A61" s="1"/>
      <c r="C61" s="187"/>
      <c r="D61" s="187"/>
      <c r="E61" s="187"/>
      <c r="F61" s="187"/>
      <c r="G61" s="187"/>
      <c r="H61" s="187"/>
      <c r="I61" s="187"/>
      <c r="J61" s="187"/>
      <c r="K61" s="187"/>
    </row>
    <row r="62" spans="1:11" x14ac:dyDescent="0.2">
      <c r="A62" s="1"/>
      <c r="C62" s="187"/>
      <c r="D62" s="187"/>
      <c r="E62" s="187"/>
      <c r="F62" s="187"/>
      <c r="G62" s="187"/>
      <c r="H62" s="187"/>
      <c r="I62" s="187"/>
      <c r="J62" s="187"/>
      <c r="K62" s="187"/>
    </row>
    <row r="63" spans="1:11" x14ac:dyDescent="0.2">
      <c r="A63" s="1"/>
      <c r="C63" s="187"/>
      <c r="D63" s="187"/>
      <c r="E63" s="187"/>
      <c r="F63" s="187"/>
      <c r="G63" s="187"/>
      <c r="H63" s="187"/>
      <c r="I63" s="187"/>
      <c r="J63" s="187"/>
      <c r="K63" s="187"/>
    </row>
    <row r="64" spans="1:11" x14ac:dyDescent="0.2">
      <c r="A64" s="1"/>
      <c r="C64" s="187"/>
      <c r="D64" s="187"/>
      <c r="E64" s="187"/>
      <c r="F64" s="187"/>
      <c r="G64" s="187"/>
      <c r="H64" s="187"/>
      <c r="I64" s="187"/>
      <c r="J64" s="187"/>
      <c r="K64" s="187"/>
    </row>
    <row r="65" spans="1:11" x14ac:dyDescent="0.2">
      <c r="A65" s="1"/>
      <c r="C65" s="187"/>
      <c r="D65" s="187"/>
      <c r="E65" s="187"/>
      <c r="F65" s="187"/>
      <c r="G65" s="187"/>
      <c r="H65" s="187"/>
      <c r="I65" s="187"/>
      <c r="J65" s="187"/>
      <c r="K65" s="187"/>
    </row>
    <row r="66" spans="1:11" x14ac:dyDescent="0.2">
      <c r="A66" s="1"/>
      <c r="C66" s="187"/>
      <c r="D66" s="187"/>
      <c r="E66" s="187"/>
      <c r="F66" s="187"/>
      <c r="G66" s="187"/>
      <c r="H66" s="187"/>
      <c r="I66" s="187"/>
      <c r="J66" s="187"/>
      <c r="K66" s="187"/>
    </row>
    <row r="67" spans="1:11" x14ac:dyDescent="0.2">
      <c r="A67" s="1"/>
      <c r="C67" s="187"/>
      <c r="D67" s="187"/>
      <c r="E67" s="187"/>
      <c r="F67" s="187"/>
      <c r="G67" s="187"/>
      <c r="H67" s="187"/>
      <c r="I67" s="187"/>
      <c r="J67" s="187"/>
      <c r="K67" s="187"/>
    </row>
    <row r="68" spans="1:11" x14ac:dyDescent="0.2">
      <c r="A68" s="1"/>
      <c r="C68" s="187"/>
      <c r="D68" s="187"/>
      <c r="E68" s="187"/>
      <c r="F68" s="187"/>
      <c r="G68" s="187"/>
      <c r="H68" s="187"/>
      <c r="I68" s="187"/>
      <c r="J68" s="187"/>
      <c r="K68" s="187"/>
    </row>
    <row r="69" spans="1:11" x14ac:dyDescent="0.2">
      <c r="A69" s="1"/>
      <c r="C69" s="187"/>
      <c r="D69" s="187"/>
      <c r="E69" s="187"/>
      <c r="F69" s="187"/>
      <c r="G69" s="187"/>
      <c r="H69" s="187"/>
      <c r="I69" s="187"/>
      <c r="J69" s="187"/>
      <c r="K69" s="187"/>
    </row>
    <row r="70" spans="1:11" x14ac:dyDescent="0.2">
      <c r="A70" s="1"/>
      <c r="C70" s="187"/>
      <c r="D70" s="187"/>
      <c r="E70" s="187"/>
      <c r="F70" s="187"/>
      <c r="G70" s="187"/>
      <c r="H70" s="187"/>
      <c r="I70" s="187"/>
      <c r="J70" s="187"/>
      <c r="K70" s="187"/>
    </row>
    <row r="71" spans="1:11" x14ac:dyDescent="0.2">
      <c r="A71" s="1"/>
      <c r="C71" s="187"/>
      <c r="D71" s="187"/>
      <c r="E71" s="187"/>
      <c r="F71" s="187"/>
      <c r="G71" s="187"/>
      <c r="H71" s="187"/>
      <c r="I71" s="187"/>
      <c r="J71" s="187"/>
      <c r="K71" s="187"/>
    </row>
    <row r="72" spans="1:11" x14ac:dyDescent="0.2">
      <c r="A72" s="1"/>
      <c r="C72" s="187"/>
      <c r="D72" s="187"/>
      <c r="E72" s="187"/>
      <c r="F72" s="187"/>
      <c r="G72" s="187"/>
      <c r="H72" s="187"/>
      <c r="I72" s="187"/>
      <c r="J72" s="187"/>
      <c r="K72" s="187"/>
    </row>
    <row r="73" spans="1:11" x14ac:dyDescent="0.2">
      <c r="A73" s="1"/>
      <c r="C73" s="187"/>
      <c r="D73" s="187"/>
      <c r="E73" s="187"/>
      <c r="F73" s="187"/>
      <c r="G73" s="187"/>
      <c r="H73" s="187"/>
      <c r="I73" s="187"/>
      <c r="J73" s="187"/>
      <c r="K73" s="187"/>
    </row>
    <row r="74" spans="1:11" x14ac:dyDescent="0.2">
      <c r="A74" s="1"/>
      <c r="C74" s="187"/>
      <c r="D74" s="187"/>
      <c r="E74" s="187"/>
      <c r="F74" s="187"/>
      <c r="G74" s="187"/>
      <c r="H74" s="187"/>
      <c r="I74" s="187"/>
      <c r="J74" s="187"/>
      <c r="K74" s="187"/>
    </row>
    <row r="75" spans="1:11" x14ac:dyDescent="0.2">
      <c r="A75" s="1"/>
      <c r="C75" s="187"/>
      <c r="D75" s="187"/>
      <c r="E75" s="187"/>
      <c r="F75" s="187"/>
      <c r="G75" s="187"/>
      <c r="H75" s="187"/>
      <c r="I75" s="187"/>
      <c r="J75" s="187"/>
      <c r="K75" s="187"/>
    </row>
    <row r="76" spans="1:11" x14ac:dyDescent="0.2">
      <c r="A76" s="1"/>
      <c r="C76" s="187"/>
      <c r="D76" s="187"/>
      <c r="E76" s="187"/>
      <c r="F76" s="187"/>
      <c r="G76" s="187"/>
      <c r="H76" s="187"/>
      <c r="I76" s="187"/>
      <c r="J76" s="187"/>
      <c r="K76" s="187"/>
    </row>
    <row r="77" spans="1:11" x14ac:dyDescent="0.2">
      <c r="A77" s="1"/>
      <c r="C77" s="187"/>
      <c r="D77" s="187"/>
      <c r="E77" s="187"/>
      <c r="F77" s="187"/>
      <c r="G77" s="187"/>
      <c r="H77" s="187"/>
      <c r="I77" s="187"/>
      <c r="J77" s="187"/>
      <c r="K77" s="187"/>
    </row>
    <row r="78" spans="1:11" x14ac:dyDescent="0.2">
      <c r="A78" s="1"/>
      <c r="C78" s="187"/>
      <c r="D78" s="187"/>
      <c r="E78" s="187"/>
      <c r="F78" s="187"/>
      <c r="G78" s="187"/>
      <c r="H78" s="187"/>
      <c r="I78" s="187"/>
      <c r="J78" s="187"/>
      <c r="K78" s="187"/>
    </row>
    <row r="79" spans="1:11" x14ac:dyDescent="0.2">
      <c r="A79" s="1"/>
      <c r="C79" s="187"/>
      <c r="D79" s="187"/>
      <c r="E79" s="187"/>
      <c r="F79" s="187"/>
      <c r="G79" s="187"/>
      <c r="H79" s="187"/>
      <c r="I79" s="187"/>
      <c r="J79" s="187"/>
      <c r="K79" s="187"/>
    </row>
    <row r="80" spans="1:11" x14ac:dyDescent="0.2">
      <c r="A80" s="1"/>
      <c r="C80" s="187"/>
      <c r="D80" s="187"/>
      <c r="E80" s="187"/>
      <c r="F80" s="187"/>
      <c r="G80" s="187"/>
      <c r="H80" s="187"/>
      <c r="I80" s="187"/>
      <c r="J80" s="187"/>
      <c r="K80" s="187"/>
    </row>
    <row r="81" spans="1:11" x14ac:dyDescent="0.2">
      <c r="A81" s="1"/>
      <c r="C81" s="187"/>
      <c r="D81" s="187"/>
      <c r="E81" s="187"/>
      <c r="F81" s="187"/>
      <c r="G81" s="187"/>
      <c r="H81" s="187"/>
      <c r="I81" s="187"/>
      <c r="J81" s="187"/>
      <c r="K81" s="187"/>
    </row>
    <row r="82" spans="1:11" x14ac:dyDescent="0.2">
      <c r="A82" s="1"/>
      <c r="C82" s="187"/>
      <c r="D82" s="187"/>
      <c r="E82" s="187"/>
      <c r="F82" s="187"/>
      <c r="G82" s="187"/>
      <c r="H82" s="187"/>
      <c r="I82" s="187"/>
      <c r="J82" s="187"/>
      <c r="K82" s="187"/>
    </row>
    <row r="83" spans="1:11" x14ac:dyDescent="0.2">
      <c r="A83" s="1"/>
      <c r="C83" s="187"/>
      <c r="D83" s="187"/>
      <c r="E83" s="187"/>
      <c r="F83" s="187"/>
      <c r="G83" s="187"/>
      <c r="H83" s="187"/>
      <c r="I83" s="187"/>
      <c r="J83" s="187"/>
      <c r="K83" s="187"/>
    </row>
    <row r="84" spans="1:11" x14ac:dyDescent="0.2">
      <c r="A84" s="1"/>
      <c r="C84" s="187"/>
      <c r="D84" s="187"/>
      <c r="E84" s="187"/>
      <c r="F84" s="187"/>
      <c r="G84" s="187"/>
      <c r="H84" s="187"/>
      <c r="I84" s="187"/>
      <c r="J84" s="187"/>
      <c r="K84" s="187"/>
    </row>
    <row r="85" spans="1:11" x14ac:dyDescent="0.2">
      <c r="A85" s="1"/>
      <c r="C85" s="187"/>
      <c r="D85" s="187"/>
      <c r="E85" s="187"/>
      <c r="F85" s="187"/>
      <c r="G85" s="187"/>
      <c r="H85" s="187"/>
      <c r="I85" s="187"/>
      <c r="J85" s="187"/>
      <c r="K85" s="187"/>
    </row>
    <row r="86" spans="1:11" x14ac:dyDescent="0.2">
      <c r="A86" s="1"/>
      <c r="C86" s="187"/>
      <c r="D86" s="187"/>
      <c r="E86" s="187"/>
      <c r="F86" s="187"/>
      <c r="G86" s="187"/>
      <c r="H86" s="187"/>
      <c r="I86" s="187"/>
      <c r="J86" s="187"/>
      <c r="K86" s="187"/>
    </row>
    <row r="87" spans="1:11" x14ac:dyDescent="0.2">
      <c r="A87" s="1"/>
      <c r="C87" s="187"/>
      <c r="D87" s="187"/>
      <c r="E87" s="187"/>
      <c r="F87" s="187"/>
      <c r="G87" s="187"/>
      <c r="H87" s="187"/>
      <c r="I87" s="187"/>
      <c r="J87" s="187"/>
      <c r="K87" s="187"/>
    </row>
    <row r="88" spans="1:11" x14ac:dyDescent="0.2">
      <c r="A88" s="1"/>
      <c r="C88" s="187"/>
      <c r="D88" s="187"/>
      <c r="E88" s="187"/>
      <c r="F88" s="187"/>
      <c r="G88" s="187"/>
      <c r="H88" s="187"/>
      <c r="I88" s="187"/>
      <c r="J88" s="187"/>
      <c r="K88" s="187"/>
    </row>
    <row r="89" spans="1:11" x14ac:dyDescent="0.2">
      <c r="A89" s="1"/>
      <c r="C89" s="187"/>
      <c r="D89" s="187"/>
      <c r="E89" s="187"/>
      <c r="F89" s="187"/>
      <c r="G89" s="187"/>
      <c r="H89" s="187"/>
      <c r="I89" s="187"/>
      <c r="J89" s="187"/>
      <c r="K89" s="187"/>
    </row>
    <row r="90" spans="1:11" x14ac:dyDescent="0.2">
      <c r="A90" s="1"/>
      <c r="C90" s="187"/>
      <c r="D90" s="187"/>
      <c r="E90" s="187"/>
      <c r="F90" s="187"/>
      <c r="G90" s="187"/>
      <c r="H90" s="187"/>
      <c r="I90" s="187"/>
      <c r="J90" s="187"/>
      <c r="K90" s="187"/>
    </row>
    <row r="91" spans="1:11" x14ac:dyDescent="0.2">
      <c r="A91" s="1"/>
      <c r="C91" s="187"/>
      <c r="D91" s="187"/>
      <c r="E91" s="187"/>
      <c r="F91" s="187"/>
      <c r="G91" s="187"/>
      <c r="H91" s="187"/>
      <c r="I91" s="187"/>
      <c r="J91" s="187"/>
      <c r="K91" s="187"/>
    </row>
    <row r="92" spans="1:11" x14ac:dyDescent="0.2">
      <c r="A92" s="1"/>
      <c r="C92" s="187"/>
      <c r="D92" s="187"/>
      <c r="E92" s="187"/>
      <c r="F92" s="187"/>
      <c r="G92" s="187"/>
      <c r="H92" s="187"/>
      <c r="I92" s="187"/>
      <c r="J92" s="187"/>
      <c r="K92" s="187"/>
    </row>
    <row r="93" spans="1:11" x14ac:dyDescent="0.2">
      <c r="A93" s="1"/>
      <c r="C93" s="187"/>
      <c r="D93" s="187"/>
      <c r="E93" s="187"/>
      <c r="F93" s="187"/>
      <c r="G93" s="187"/>
      <c r="H93" s="187"/>
      <c r="I93" s="187"/>
      <c r="J93" s="187"/>
      <c r="K93" s="187"/>
    </row>
    <row r="94" spans="1:11" x14ac:dyDescent="0.2">
      <c r="A94" s="1"/>
      <c r="C94" s="187"/>
      <c r="D94" s="187"/>
      <c r="E94" s="187"/>
      <c r="F94" s="187"/>
      <c r="G94" s="187"/>
      <c r="H94" s="187"/>
      <c r="I94" s="187"/>
      <c r="J94" s="187"/>
      <c r="K94" s="187"/>
    </row>
    <row r="95" spans="1:11" x14ac:dyDescent="0.2">
      <c r="A95" s="1"/>
      <c r="C95" s="187"/>
      <c r="D95" s="187"/>
      <c r="E95" s="187"/>
      <c r="F95" s="187"/>
      <c r="G95" s="187"/>
      <c r="H95" s="187"/>
      <c r="I95" s="187"/>
      <c r="J95" s="187"/>
      <c r="K95" s="187"/>
    </row>
    <row r="96" spans="1:11" x14ac:dyDescent="0.2">
      <c r="A96" s="1"/>
      <c r="C96" s="187"/>
      <c r="D96" s="187"/>
      <c r="E96" s="187"/>
      <c r="F96" s="187"/>
      <c r="G96" s="187"/>
      <c r="H96" s="187"/>
      <c r="I96" s="187"/>
      <c r="J96" s="187"/>
      <c r="K96" s="187"/>
    </row>
    <row r="97" spans="1:11" x14ac:dyDescent="0.2">
      <c r="A97" s="1"/>
      <c r="C97" s="187"/>
      <c r="D97" s="187"/>
      <c r="E97" s="187"/>
      <c r="F97" s="187"/>
      <c r="G97" s="187"/>
      <c r="H97" s="187"/>
      <c r="I97" s="187"/>
      <c r="J97" s="187"/>
      <c r="K97" s="187"/>
    </row>
    <row r="98" spans="1:11" x14ac:dyDescent="0.2">
      <c r="A98" s="1"/>
      <c r="C98" s="187"/>
      <c r="D98" s="187"/>
      <c r="E98" s="187"/>
      <c r="F98" s="187"/>
      <c r="G98" s="187"/>
      <c r="H98" s="187"/>
      <c r="I98" s="187"/>
      <c r="J98" s="187"/>
      <c r="K98" s="187"/>
    </row>
    <row r="99" spans="1:11" x14ac:dyDescent="0.2">
      <c r="A99" s="1"/>
      <c r="C99" s="187"/>
      <c r="D99" s="187"/>
      <c r="E99" s="187"/>
      <c r="F99" s="187"/>
      <c r="G99" s="187"/>
      <c r="H99" s="187"/>
      <c r="I99" s="187"/>
      <c r="J99" s="187"/>
      <c r="K99" s="187"/>
    </row>
    <row r="100" spans="1:11" x14ac:dyDescent="0.2">
      <c r="A100" s="1"/>
      <c r="C100" s="187"/>
      <c r="D100" s="187"/>
      <c r="E100" s="187"/>
      <c r="F100" s="187"/>
      <c r="G100" s="187"/>
      <c r="H100" s="187"/>
      <c r="I100" s="187"/>
      <c r="J100" s="187"/>
      <c r="K100" s="187"/>
    </row>
    <row r="101" spans="1:11" x14ac:dyDescent="0.2">
      <c r="A101" s="1"/>
      <c r="C101" s="187"/>
      <c r="D101" s="187"/>
      <c r="E101" s="187"/>
      <c r="F101" s="187"/>
      <c r="G101" s="187"/>
      <c r="H101" s="187"/>
      <c r="I101" s="187"/>
      <c r="J101" s="187"/>
      <c r="K101" s="187"/>
    </row>
    <row r="102" spans="1:11" x14ac:dyDescent="0.2">
      <c r="A102" s="1"/>
      <c r="C102" s="187"/>
      <c r="D102" s="187"/>
      <c r="E102" s="187"/>
      <c r="F102" s="187"/>
      <c r="G102" s="187"/>
      <c r="H102" s="187"/>
      <c r="I102" s="187"/>
      <c r="J102" s="187"/>
      <c r="K102" s="187"/>
    </row>
    <row r="103" spans="1:11" x14ac:dyDescent="0.2">
      <c r="A103" s="1"/>
      <c r="C103" s="187"/>
      <c r="D103" s="187"/>
      <c r="E103" s="187"/>
      <c r="F103" s="187"/>
      <c r="G103" s="187"/>
      <c r="H103" s="187"/>
      <c r="I103" s="187"/>
      <c r="J103" s="187"/>
      <c r="K103" s="187"/>
    </row>
    <row r="104" spans="1:11" x14ac:dyDescent="0.2">
      <c r="A104" s="1"/>
      <c r="C104" s="187"/>
      <c r="D104" s="187"/>
      <c r="E104" s="187"/>
      <c r="F104" s="187"/>
      <c r="G104" s="187"/>
      <c r="H104" s="187"/>
      <c r="I104" s="187"/>
      <c r="J104" s="187"/>
      <c r="K104" s="187"/>
    </row>
    <row r="105" spans="1:11" x14ac:dyDescent="0.2">
      <c r="A105" s="1"/>
      <c r="C105" s="187"/>
      <c r="D105" s="187"/>
      <c r="E105" s="187"/>
      <c r="F105" s="187"/>
      <c r="G105" s="187"/>
      <c r="H105" s="187"/>
      <c r="I105" s="187"/>
      <c r="J105" s="187"/>
      <c r="K105" s="187"/>
    </row>
    <row r="106" spans="1:11" x14ac:dyDescent="0.2">
      <c r="A106" s="1"/>
      <c r="C106" s="187"/>
      <c r="D106" s="187"/>
      <c r="E106" s="187"/>
      <c r="F106" s="187"/>
      <c r="G106" s="187"/>
      <c r="H106" s="187"/>
      <c r="I106" s="187"/>
      <c r="J106" s="187"/>
      <c r="K106" s="187"/>
    </row>
    <row r="107" spans="1:11" x14ac:dyDescent="0.2">
      <c r="A107" s="1"/>
      <c r="C107" s="187"/>
      <c r="D107" s="187"/>
      <c r="E107" s="187"/>
      <c r="F107" s="187"/>
      <c r="G107" s="187"/>
      <c r="H107" s="187"/>
      <c r="I107" s="187"/>
      <c r="J107" s="187"/>
      <c r="K107" s="187"/>
    </row>
    <row r="108" spans="1:11" x14ac:dyDescent="0.2">
      <c r="A108" s="1"/>
      <c r="C108" s="187"/>
      <c r="D108" s="187"/>
      <c r="E108" s="187"/>
      <c r="F108" s="187"/>
      <c r="G108" s="187"/>
      <c r="H108" s="187"/>
      <c r="I108" s="187"/>
      <c r="J108" s="187"/>
      <c r="K108" s="187"/>
    </row>
    <row r="109" spans="1:11" x14ac:dyDescent="0.2">
      <c r="A109" s="1"/>
      <c r="C109" s="187"/>
      <c r="D109" s="187"/>
      <c r="E109" s="187"/>
      <c r="F109" s="187"/>
      <c r="G109" s="187"/>
      <c r="H109" s="187"/>
      <c r="I109" s="187"/>
      <c r="J109" s="187"/>
      <c r="K109" s="187"/>
    </row>
    <row r="110" spans="1:11" x14ac:dyDescent="0.2">
      <c r="A110" s="1"/>
      <c r="C110" s="187"/>
      <c r="D110" s="187"/>
      <c r="E110" s="187"/>
      <c r="F110" s="187"/>
      <c r="G110" s="187"/>
      <c r="H110" s="187"/>
      <c r="I110" s="187"/>
      <c r="J110" s="187"/>
      <c r="K110" s="187"/>
    </row>
    <row r="111" spans="1:11" x14ac:dyDescent="0.2">
      <c r="A111" s="1"/>
      <c r="C111" s="187"/>
      <c r="D111" s="187"/>
      <c r="E111" s="187"/>
      <c r="F111" s="187"/>
      <c r="G111" s="187"/>
      <c r="H111" s="187"/>
      <c r="I111" s="187"/>
      <c r="J111" s="187"/>
      <c r="K111" s="187"/>
    </row>
    <row r="112" spans="1:11" x14ac:dyDescent="0.2">
      <c r="A112" s="1"/>
      <c r="C112" s="187"/>
      <c r="D112" s="187"/>
      <c r="E112" s="187"/>
      <c r="F112" s="187"/>
      <c r="G112" s="187"/>
      <c r="H112" s="187"/>
      <c r="I112" s="187"/>
      <c r="J112" s="187"/>
      <c r="K112" s="187"/>
    </row>
    <row r="113" spans="1:11" x14ac:dyDescent="0.2">
      <c r="A113" s="1"/>
      <c r="C113" s="187"/>
      <c r="D113" s="187"/>
      <c r="E113" s="187"/>
      <c r="F113" s="187"/>
      <c r="G113" s="187"/>
      <c r="H113" s="187"/>
      <c r="I113" s="187"/>
      <c r="J113" s="187"/>
      <c r="K113" s="187"/>
    </row>
    <row r="114" spans="1:11" x14ac:dyDescent="0.2">
      <c r="A114" s="1"/>
      <c r="C114" s="187"/>
      <c r="D114" s="187"/>
      <c r="E114" s="187"/>
      <c r="F114" s="187"/>
      <c r="G114" s="187"/>
      <c r="H114" s="187"/>
      <c r="I114" s="187"/>
      <c r="J114" s="187"/>
      <c r="K114" s="187"/>
    </row>
    <row r="115" spans="1:11" x14ac:dyDescent="0.2">
      <c r="A115" s="1"/>
      <c r="C115" s="187"/>
      <c r="D115" s="187"/>
      <c r="E115" s="187"/>
      <c r="F115" s="187"/>
      <c r="G115" s="187"/>
      <c r="H115" s="187"/>
      <c r="I115" s="187"/>
      <c r="J115" s="187"/>
      <c r="K115" s="187"/>
    </row>
    <row r="116" spans="1:11" x14ac:dyDescent="0.2">
      <c r="A116" s="1"/>
      <c r="C116" s="187"/>
      <c r="D116" s="187"/>
      <c r="E116" s="187"/>
      <c r="F116" s="187"/>
      <c r="G116" s="187"/>
      <c r="H116" s="187"/>
      <c r="I116" s="187"/>
      <c r="J116" s="187"/>
      <c r="K116" s="187"/>
    </row>
    <row r="117" spans="1:11" x14ac:dyDescent="0.2">
      <c r="A117" s="1"/>
      <c r="C117" s="187"/>
      <c r="D117" s="187"/>
      <c r="E117" s="187"/>
      <c r="F117" s="187"/>
      <c r="G117" s="187"/>
      <c r="H117" s="187"/>
      <c r="I117" s="187"/>
      <c r="J117" s="187"/>
      <c r="K117" s="187"/>
    </row>
    <row r="118" spans="1:11" x14ac:dyDescent="0.2">
      <c r="A118" s="1"/>
      <c r="C118" s="187"/>
      <c r="D118" s="187"/>
      <c r="E118" s="187"/>
      <c r="F118" s="187"/>
      <c r="G118" s="187"/>
      <c r="H118" s="187"/>
      <c r="I118" s="187"/>
      <c r="J118" s="187"/>
      <c r="K118" s="187"/>
    </row>
    <row r="119" spans="1:11" x14ac:dyDescent="0.2">
      <c r="A119" s="1"/>
      <c r="C119" s="187"/>
      <c r="D119" s="187"/>
      <c r="E119" s="187"/>
      <c r="F119" s="187"/>
      <c r="G119" s="187"/>
      <c r="H119" s="187"/>
      <c r="I119" s="187"/>
      <c r="J119" s="187"/>
      <c r="K119" s="187"/>
    </row>
    <row r="120" spans="1:11" x14ac:dyDescent="0.2">
      <c r="A120" s="1"/>
      <c r="C120" s="187"/>
      <c r="D120" s="187"/>
      <c r="E120" s="187"/>
      <c r="F120" s="187"/>
      <c r="G120" s="187"/>
      <c r="H120" s="187"/>
      <c r="I120" s="187"/>
      <c r="J120" s="187"/>
      <c r="K120" s="187"/>
    </row>
    <row r="121" spans="1:11" x14ac:dyDescent="0.2">
      <c r="A121" s="1"/>
      <c r="C121" s="187"/>
      <c r="D121" s="187"/>
      <c r="E121" s="187"/>
      <c r="F121" s="187"/>
      <c r="G121" s="187"/>
      <c r="H121" s="187"/>
      <c r="I121" s="187"/>
      <c r="J121" s="187"/>
      <c r="K121" s="187"/>
    </row>
    <row r="122" spans="1:11" x14ac:dyDescent="0.2">
      <c r="A122" s="1"/>
      <c r="C122" s="187"/>
      <c r="D122" s="187"/>
      <c r="E122" s="187"/>
      <c r="F122" s="187"/>
      <c r="G122" s="187"/>
      <c r="H122" s="187"/>
      <c r="I122" s="187"/>
      <c r="J122" s="187"/>
      <c r="K122" s="187"/>
    </row>
    <row r="123" spans="1:11" x14ac:dyDescent="0.2">
      <c r="A123" s="1"/>
      <c r="C123" s="187"/>
      <c r="D123" s="187"/>
      <c r="E123" s="187"/>
      <c r="F123" s="187"/>
      <c r="G123" s="187"/>
      <c r="H123" s="187"/>
      <c r="I123" s="187"/>
      <c r="J123" s="187"/>
      <c r="K123" s="187"/>
    </row>
    <row r="124" spans="1:11" x14ac:dyDescent="0.2">
      <c r="A124" s="1"/>
      <c r="C124" s="187"/>
      <c r="D124" s="187"/>
      <c r="E124" s="187"/>
      <c r="F124" s="187"/>
      <c r="G124" s="187"/>
      <c r="H124" s="187"/>
      <c r="I124" s="187"/>
      <c r="J124" s="187"/>
      <c r="K124" s="187"/>
    </row>
    <row r="125" spans="1:11" x14ac:dyDescent="0.2">
      <c r="A125" s="1"/>
      <c r="C125" s="187"/>
      <c r="D125" s="187"/>
      <c r="E125" s="187"/>
      <c r="F125" s="187"/>
      <c r="G125" s="187"/>
      <c r="H125" s="187"/>
      <c r="I125" s="187"/>
      <c r="J125" s="187"/>
      <c r="K125" s="187"/>
    </row>
    <row r="126" spans="1:11" x14ac:dyDescent="0.2">
      <c r="A126" s="1"/>
      <c r="C126" s="187"/>
      <c r="D126" s="187"/>
      <c r="E126" s="187"/>
      <c r="F126" s="187"/>
      <c r="G126" s="187"/>
      <c r="H126" s="187"/>
      <c r="I126" s="187"/>
      <c r="J126" s="187"/>
      <c r="K126" s="187"/>
    </row>
    <row r="127" spans="1:11" x14ac:dyDescent="0.2">
      <c r="A127" s="1"/>
      <c r="C127" s="187"/>
      <c r="D127" s="187"/>
      <c r="E127" s="187"/>
      <c r="F127" s="187"/>
      <c r="G127" s="187"/>
      <c r="H127" s="187"/>
      <c r="I127" s="187"/>
      <c r="J127" s="187"/>
      <c r="K127" s="187"/>
    </row>
    <row r="128" spans="1:11" x14ac:dyDescent="0.2">
      <c r="A128" s="1"/>
      <c r="C128" s="187"/>
      <c r="D128" s="187"/>
      <c r="E128" s="187"/>
      <c r="F128" s="187"/>
      <c r="G128" s="187"/>
      <c r="H128" s="187"/>
      <c r="I128" s="187"/>
      <c r="J128" s="187"/>
      <c r="K128" s="187"/>
    </row>
    <row r="129" spans="1:11" x14ac:dyDescent="0.2">
      <c r="A129" s="1"/>
      <c r="C129" s="187"/>
      <c r="D129" s="187"/>
      <c r="E129" s="187"/>
      <c r="F129" s="187"/>
      <c r="G129" s="187"/>
      <c r="H129" s="187"/>
      <c r="I129" s="187"/>
      <c r="J129" s="187"/>
      <c r="K129" s="187"/>
    </row>
    <row r="130" spans="1:11" x14ac:dyDescent="0.2">
      <c r="A130" s="1"/>
      <c r="C130" s="187"/>
      <c r="D130" s="187"/>
      <c r="E130" s="187"/>
      <c r="F130" s="187"/>
      <c r="G130" s="187"/>
      <c r="H130" s="187"/>
      <c r="I130" s="187"/>
      <c r="J130" s="187"/>
      <c r="K130" s="187"/>
    </row>
    <row r="131" spans="1:11" x14ac:dyDescent="0.2">
      <c r="A131" s="1"/>
      <c r="C131" s="187"/>
      <c r="D131" s="187"/>
      <c r="E131" s="187"/>
      <c r="F131" s="187"/>
      <c r="G131" s="187"/>
      <c r="H131" s="187"/>
      <c r="I131" s="187"/>
      <c r="J131" s="187"/>
      <c r="K131" s="187"/>
    </row>
    <row r="132" spans="1:11" x14ac:dyDescent="0.2">
      <c r="A132" s="1"/>
      <c r="C132" s="187"/>
      <c r="D132" s="187"/>
      <c r="E132" s="187"/>
      <c r="F132" s="187"/>
      <c r="G132" s="187"/>
      <c r="H132" s="187"/>
      <c r="I132" s="187"/>
      <c r="J132" s="187"/>
      <c r="K132" s="187"/>
    </row>
    <row r="133" spans="1:11" x14ac:dyDescent="0.2">
      <c r="A133" s="1"/>
      <c r="C133" s="187"/>
      <c r="D133" s="187"/>
      <c r="E133" s="187"/>
      <c r="F133" s="187"/>
      <c r="G133" s="187"/>
      <c r="H133" s="187"/>
      <c r="I133" s="187"/>
      <c r="J133" s="187"/>
      <c r="K133" s="187"/>
    </row>
    <row r="134" spans="1:11" x14ac:dyDescent="0.2">
      <c r="A134" s="1"/>
      <c r="C134" s="187"/>
      <c r="D134" s="187"/>
      <c r="E134" s="187"/>
      <c r="F134" s="187"/>
      <c r="G134" s="187"/>
      <c r="H134" s="187"/>
      <c r="I134" s="187"/>
      <c r="J134" s="187"/>
      <c r="K134" s="187"/>
    </row>
    <row r="135" spans="1:11" x14ac:dyDescent="0.2">
      <c r="A135" s="1"/>
      <c r="C135" s="187"/>
      <c r="D135" s="187"/>
      <c r="E135" s="187"/>
      <c r="F135" s="187"/>
      <c r="G135" s="187"/>
      <c r="H135" s="187"/>
      <c r="I135" s="187"/>
      <c r="J135" s="187"/>
      <c r="K135" s="187"/>
    </row>
    <row r="136" spans="1:11" x14ac:dyDescent="0.2">
      <c r="A136" s="1"/>
      <c r="C136" s="187"/>
      <c r="D136" s="187"/>
      <c r="E136" s="187"/>
      <c r="F136" s="187"/>
      <c r="G136" s="187"/>
      <c r="H136" s="187"/>
      <c r="I136" s="187"/>
      <c r="J136" s="187"/>
      <c r="K136" s="187"/>
    </row>
    <row r="137" spans="1:11" x14ac:dyDescent="0.2">
      <c r="A137" s="1"/>
      <c r="C137" s="187"/>
      <c r="D137" s="187"/>
      <c r="E137" s="187"/>
      <c r="F137" s="187"/>
      <c r="G137" s="187"/>
      <c r="H137" s="187"/>
      <c r="I137" s="187"/>
      <c r="J137" s="187"/>
      <c r="K137" s="187"/>
    </row>
    <row r="138" spans="1:11" x14ac:dyDescent="0.2">
      <c r="A138" s="1"/>
      <c r="C138" s="187"/>
      <c r="D138" s="187"/>
      <c r="E138" s="187"/>
      <c r="F138" s="187"/>
      <c r="G138" s="187"/>
      <c r="H138" s="187"/>
      <c r="I138" s="187"/>
      <c r="J138" s="187"/>
      <c r="K138" s="187"/>
    </row>
    <row r="139" spans="1:11" x14ac:dyDescent="0.2">
      <c r="A139" s="1"/>
      <c r="C139" s="187"/>
      <c r="D139" s="187"/>
      <c r="E139" s="187"/>
      <c r="F139" s="187"/>
      <c r="G139" s="187"/>
      <c r="H139" s="187"/>
      <c r="I139" s="187"/>
      <c r="J139" s="187"/>
      <c r="K139" s="187"/>
    </row>
    <row r="140" spans="1:11" x14ac:dyDescent="0.2">
      <c r="A140" s="1"/>
      <c r="C140" s="187"/>
      <c r="D140" s="187"/>
      <c r="E140" s="187"/>
      <c r="F140" s="187"/>
      <c r="G140" s="187"/>
      <c r="H140" s="187"/>
      <c r="I140" s="187"/>
      <c r="J140" s="187"/>
      <c r="K140" s="187"/>
    </row>
    <row r="141" spans="1:11" x14ac:dyDescent="0.2">
      <c r="A141" s="1"/>
      <c r="C141" s="187"/>
      <c r="D141" s="187"/>
      <c r="E141" s="187"/>
      <c r="F141" s="187"/>
      <c r="G141" s="187"/>
      <c r="H141" s="187"/>
      <c r="I141" s="187"/>
      <c r="J141" s="187"/>
      <c r="K141" s="187"/>
    </row>
  </sheetData>
  <mergeCells count="1">
    <mergeCell ref="B1:C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workbookViewId="0">
      <selection activeCell="J12" sqref="J12"/>
    </sheetView>
  </sheetViews>
  <sheetFormatPr defaultRowHeight="15" x14ac:dyDescent="0.25"/>
  <cols>
    <col min="1" max="1" width="13.42578125" bestFit="1" customWidth="1"/>
    <col min="2" max="2" width="9.28515625" bestFit="1" customWidth="1"/>
    <col min="3" max="3" width="16.85546875" bestFit="1" customWidth="1"/>
    <col min="4" max="4" width="21.5703125" bestFit="1" customWidth="1"/>
    <col min="5" max="5" width="21.5703125" customWidth="1"/>
    <col min="6" max="6" width="11.5703125" bestFit="1" customWidth="1"/>
    <col min="9" max="9" width="19.85546875" bestFit="1" customWidth="1"/>
    <col min="10" max="10" width="12.140625" bestFit="1" customWidth="1"/>
  </cols>
  <sheetData>
    <row r="1" spans="1:10" ht="16.5" thickBot="1" x14ac:dyDescent="0.3">
      <c r="H1" s="354" t="s">
        <v>272</v>
      </c>
      <c r="I1" s="355"/>
      <c r="J1" s="313">
        <v>43803</v>
      </c>
    </row>
    <row r="2" spans="1:10" x14ac:dyDescent="0.25">
      <c r="A2" s="360" t="s">
        <v>199</v>
      </c>
      <c r="B2" s="361"/>
      <c r="C2" s="361"/>
      <c r="D2" s="361"/>
      <c r="E2" s="362"/>
      <c r="F2" s="363"/>
    </row>
    <row r="3" spans="1:10" x14ac:dyDescent="0.25">
      <c r="A3" s="201" t="s">
        <v>196</v>
      </c>
      <c r="B3" s="200" t="s">
        <v>195</v>
      </c>
      <c r="C3" s="200" t="s">
        <v>194</v>
      </c>
      <c r="D3" s="199" t="s">
        <v>198</v>
      </c>
      <c r="E3" s="334" t="s">
        <v>291</v>
      </c>
      <c r="F3" s="198" t="s">
        <v>192</v>
      </c>
    </row>
    <row r="4" spans="1:10" x14ac:dyDescent="0.25">
      <c r="A4" s="197">
        <v>1</v>
      </c>
      <c r="B4" s="196" t="s">
        <v>191</v>
      </c>
      <c r="C4" s="330">
        <v>15106.47</v>
      </c>
      <c r="D4" s="99">
        <v>519603.94</v>
      </c>
      <c r="E4" s="331">
        <f>50669.73+16698.4</f>
        <v>67368.13</v>
      </c>
      <c r="F4" s="195">
        <f>C4-D4-E4</f>
        <v>-571865.60000000009</v>
      </c>
    </row>
    <row r="5" spans="1:10" x14ac:dyDescent="0.25">
      <c r="A5" s="197">
        <v>20</v>
      </c>
      <c r="B5" s="196" t="s">
        <v>190</v>
      </c>
      <c r="C5" s="99">
        <v>7794.18</v>
      </c>
      <c r="D5" s="99">
        <v>59919.68</v>
      </c>
      <c r="E5" s="331"/>
      <c r="F5" s="195">
        <f t="shared" ref="F5:F7" si="0">C5-D5-E5</f>
        <v>-52125.5</v>
      </c>
    </row>
    <row r="6" spans="1:10" x14ac:dyDescent="0.25">
      <c r="A6" s="197">
        <v>31</v>
      </c>
      <c r="B6" s="196" t="s">
        <v>189</v>
      </c>
      <c r="C6" s="99">
        <v>-48734.13</v>
      </c>
      <c r="D6" s="100">
        <v>43831.91</v>
      </c>
      <c r="E6" s="332"/>
      <c r="F6" s="195">
        <f t="shared" si="0"/>
        <v>-92566.040000000008</v>
      </c>
    </row>
    <row r="7" spans="1:10" ht="15.75" thickBot="1" x14ac:dyDescent="0.3">
      <c r="A7" s="194">
        <v>40</v>
      </c>
      <c r="B7" s="193" t="s">
        <v>188</v>
      </c>
      <c r="C7" s="192">
        <v>27081.98</v>
      </c>
      <c r="D7" s="192">
        <v>95634.45</v>
      </c>
      <c r="E7" s="333">
        <v>1547.27</v>
      </c>
      <c r="F7" s="195">
        <f t="shared" si="0"/>
        <v>-70099.740000000005</v>
      </c>
    </row>
    <row r="9" spans="1:10" x14ac:dyDescent="0.25">
      <c r="A9" s="190" t="s">
        <v>187</v>
      </c>
      <c r="B9" s="189"/>
      <c r="C9" s="188">
        <f>SUM(C4:C7)</f>
        <v>1248.5000000000036</v>
      </c>
      <c r="D9" s="188">
        <f>SUM(D4:D7)</f>
        <v>718989.98</v>
      </c>
      <c r="E9" s="188"/>
      <c r="F9" s="188">
        <f>SUM(F4:F7)</f>
        <v>-786656.88000000012</v>
      </c>
    </row>
    <row r="10" spans="1:10" ht="15.75" thickBot="1" x14ac:dyDescent="0.3"/>
    <row r="11" spans="1:10" x14ac:dyDescent="0.25">
      <c r="A11" s="360" t="s">
        <v>197</v>
      </c>
      <c r="B11" s="361"/>
      <c r="C11" s="361"/>
      <c r="D11" s="361"/>
      <c r="E11" s="362"/>
      <c r="F11" s="363"/>
    </row>
    <row r="12" spans="1:10" x14ac:dyDescent="0.25">
      <c r="A12" s="201" t="s">
        <v>196</v>
      </c>
      <c r="B12" s="200" t="s">
        <v>195</v>
      </c>
      <c r="C12" s="200" t="s">
        <v>194</v>
      </c>
      <c r="D12" s="199" t="s">
        <v>193</v>
      </c>
      <c r="E12" s="334" t="s">
        <v>291</v>
      </c>
      <c r="F12" s="198" t="s">
        <v>192</v>
      </c>
    </row>
    <row r="13" spans="1:10" x14ac:dyDescent="0.25">
      <c r="A13" s="197">
        <v>1</v>
      </c>
      <c r="B13" s="196" t="s">
        <v>191</v>
      </c>
      <c r="C13" s="99">
        <v>15106.47</v>
      </c>
      <c r="D13" s="99">
        <v>522961.77</v>
      </c>
      <c r="E13" s="331"/>
      <c r="F13" s="195">
        <f>C13-D13</f>
        <v>-507855.30000000005</v>
      </c>
    </row>
    <row r="14" spans="1:10" x14ac:dyDescent="0.25">
      <c r="A14" s="197">
        <v>20</v>
      </c>
      <c r="B14" s="196" t="s">
        <v>190</v>
      </c>
      <c r="C14" s="99">
        <v>7794.18</v>
      </c>
      <c r="D14" s="99">
        <v>157303.44</v>
      </c>
      <c r="E14" s="331"/>
      <c r="F14" s="195">
        <f>C14-D14</f>
        <v>-149509.26</v>
      </c>
    </row>
    <row r="15" spans="1:10" x14ac:dyDescent="0.25">
      <c r="A15" s="197">
        <v>31</v>
      </c>
      <c r="B15" s="196" t="s">
        <v>189</v>
      </c>
      <c r="C15" s="99">
        <v>-48734.13</v>
      </c>
      <c r="D15" s="100">
        <v>0</v>
      </c>
      <c r="E15" s="332"/>
      <c r="F15" s="195">
        <f>C15-D15</f>
        <v>-48734.13</v>
      </c>
    </row>
    <row r="16" spans="1:10" ht="15.75" thickBot="1" x14ac:dyDescent="0.3">
      <c r="A16" s="194">
        <v>40</v>
      </c>
      <c r="B16" s="193" t="s">
        <v>188</v>
      </c>
      <c r="C16" s="192">
        <v>27081.98</v>
      </c>
      <c r="D16" s="192">
        <v>84615.38</v>
      </c>
      <c r="E16" s="333"/>
      <c r="F16" s="191">
        <f>C16-D16</f>
        <v>-57533.400000000009</v>
      </c>
    </row>
    <row r="18" spans="1:6" x14ac:dyDescent="0.25">
      <c r="A18" s="190" t="s">
        <v>187</v>
      </c>
      <c r="B18" s="189"/>
      <c r="C18" s="188">
        <f>SUM(C13:C16)</f>
        <v>1248.5000000000036</v>
      </c>
      <c r="D18" s="188">
        <f>SUM(D13:D16)</f>
        <v>764880.59</v>
      </c>
      <c r="E18" s="188"/>
      <c r="F18" s="188">
        <f>SUM(F13:F16)</f>
        <v>-763632.09000000008</v>
      </c>
    </row>
  </sheetData>
  <mergeCells count="3">
    <mergeCell ref="A2:F2"/>
    <mergeCell ref="A11:F11"/>
    <mergeCell ref="H1:I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144"/>
  <sheetViews>
    <sheetView topLeftCell="A4" workbookViewId="0">
      <selection activeCell="H10" sqref="H10"/>
    </sheetView>
  </sheetViews>
  <sheetFormatPr defaultRowHeight="12.75" x14ac:dyDescent="0.2"/>
  <cols>
    <col min="1" max="1" width="8.28515625" style="144" bestFit="1" customWidth="1"/>
    <col min="2" max="2" width="41.85546875" style="1" bestFit="1" customWidth="1"/>
    <col min="3" max="3" width="12.140625" style="1" bestFit="1" customWidth="1"/>
    <col min="4" max="6" width="9.28515625" style="1" bestFit="1" customWidth="1"/>
    <col min="7" max="7" width="2.5703125" style="1" customWidth="1"/>
    <col min="8" max="8" width="7.85546875" style="1" bestFit="1" customWidth="1"/>
    <col min="9" max="9" width="7.7109375" style="1" bestFit="1" customWidth="1"/>
    <col min="10" max="12" width="7.28515625" style="1" bestFit="1" customWidth="1"/>
    <col min="13" max="13" width="2.5703125" style="1" customWidth="1"/>
    <col min="14" max="17" width="7.7109375" style="1" bestFit="1" customWidth="1"/>
    <col min="18" max="16384" width="9.140625" style="1"/>
  </cols>
  <sheetData>
    <row r="1" spans="1:17" ht="16.5" thickBot="1" x14ac:dyDescent="0.3">
      <c r="B1" s="312" t="s">
        <v>272</v>
      </c>
      <c r="C1" s="313"/>
      <c r="D1" s="306"/>
    </row>
    <row r="2" spans="1:17" ht="13.5" thickBot="1" x14ac:dyDescent="0.25"/>
    <row r="3" spans="1:17" ht="19.5" thickBot="1" x14ac:dyDescent="0.35">
      <c r="A3" s="367" t="s">
        <v>204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9"/>
    </row>
    <row r="4" spans="1:17" ht="19.5" thickBot="1" x14ac:dyDescent="0.35">
      <c r="A4" s="367" t="s">
        <v>203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9"/>
    </row>
    <row r="5" spans="1:17" ht="13.5" thickBot="1" x14ac:dyDescent="0.25">
      <c r="B5" s="144"/>
      <c r="C5" s="144"/>
      <c r="D5" s="144"/>
      <c r="E5" s="144"/>
      <c r="F5" s="144"/>
      <c r="H5" s="144"/>
      <c r="N5" s="144"/>
      <c r="O5" s="144"/>
      <c r="P5" s="144"/>
      <c r="Q5" s="144"/>
    </row>
    <row r="6" spans="1:17" ht="15.75" customHeight="1" thickBot="1" x14ac:dyDescent="0.25">
      <c r="H6" s="364" t="s">
        <v>206</v>
      </c>
      <c r="I6" s="365"/>
      <c r="J6" s="365"/>
      <c r="K6" s="365"/>
      <c r="L6" s="366"/>
      <c r="N6" s="364" t="s">
        <v>207</v>
      </c>
      <c r="O6" s="365"/>
      <c r="P6" s="365"/>
      <c r="Q6" s="366"/>
    </row>
    <row r="7" spans="1:17" ht="13.5" thickBot="1" x14ac:dyDescent="0.25">
      <c r="B7" s="148" t="s">
        <v>205</v>
      </c>
      <c r="C7" s="151">
        <v>2015</v>
      </c>
      <c r="D7" s="152">
        <v>2016</v>
      </c>
      <c r="E7" s="153">
        <v>2017</v>
      </c>
      <c r="F7" s="153">
        <v>2018</v>
      </c>
      <c r="H7" s="252" t="s">
        <v>209</v>
      </c>
      <c r="I7" s="252" t="s">
        <v>210</v>
      </c>
      <c r="J7" s="252" t="s">
        <v>211</v>
      </c>
      <c r="K7" s="252">
        <v>2018</v>
      </c>
      <c r="L7" s="258" t="s">
        <v>212</v>
      </c>
      <c r="N7" s="110">
        <v>2015</v>
      </c>
      <c r="O7" s="111">
        <v>2016</v>
      </c>
      <c r="P7" s="109">
        <v>2017</v>
      </c>
      <c r="Q7" s="109">
        <v>2018</v>
      </c>
    </row>
    <row r="8" spans="1:17" x14ac:dyDescent="0.2">
      <c r="A8" s="154" t="s">
        <v>185</v>
      </c>
      <c r="B8" s="155" t="s">
        <v>184</v>
      </c>
      <c r="C8" s="158"/>
      <c r="D8" s="160"/>
      <c r="E8" s="162"/>
      <c r="F8" s="162"/>
      <c r="H8" s="250"/>
      <c r="I8" s="250"/>
      <c r="J8" s="250"/>
      <c r="K8" s="251"/>
      <c r="L8" s="256"/>
      <c r="N8" s="159"/>
      <c r="O8" s="161"/>
      <c r="P8" s="163"/>
      <c r="Q8" s="163"/>
    </row>
    <row r="9" spans="1:17" x14ac:dyDescent="0.2">
      <c r="A9" s="164" t="s">
        <v>183</v>
      </c>
      <c r="B9" s="155" t="s">
        <v>182</v>
      </c>
      <c r="C9" s="158"/>
      <c r="D9" s="160"/>
      <c r="E9" s="162"/>
      <c r="F9" s="162"/>
      <c r="H9" s="250"/>
      <c r="I9" s="250"/>
      <c r="J9" s="250"/>
      <c r="K9" s="251"/>
      <c r="L9" s="255"/>
      <c r="N9" s="159"/>
      <c r="O9" s="161"/>
      <c r="P9" s="163"/>
      <c r="Q9" s="163"/>
    </row>
    <row r="10" spans="1:17" x14ac:dyDescent="0.2">
      <c r="A10" s="164" t="s">
        <v>181</v>
      </c>
      <c r="B10" s="155" t="s">
        <v>180</v>
      </c>
      <c r="C10" s="158">
        <v>1428971.66</v>
      </c>
      <c r="D10" s="160">
        <v>1712202.56</v>
      </c>
      <c r="E10" s="162">
        <v>1833803.05</v>
      </c>
      <c r="F10" s="162">
        <v>1918142.05</v>
      </c>
      <c r="H10" s="250">
        <f>'duodecimo camara'!H5</f>
        <v>3.6657703498079757</v>
      </c>
      <c r="I10" s="250">
        <f t="shared" ref="I10:J19" si="0">(E10-D10)/D10*100</f>
        <v>7.1019920680412945</v>
      </c>
      <c r="J10" s="250">
        <f t="shared" si="0"/>
        <v>4.5991307518001996</v>
      </c>
      <c r="K10" s="251">
        <f>(F10-E10)/E10*100</f>
        <v>4.5991307518001996</v>
      </c>
      <c r="L10" s="255">
        <f>(F10-C10)/C10*100</f>
        <v>34.23233670008544</v>
      </c>
      <c r="N10" s="159">
        <f>C10/$C$37</f>
        <v>0.46659582563210467</v>
      </c>
      <c r="O10" s="161">
        <f>D10/$D$37</f>
        <v>0.4584174287229234</v>
      </c>
      <c r="P10" s="163">
        <f>E10/$E$37</f>
        <v>0.45667406747375278</v>
      </c>
      <c r="Q10" s="163">
        <f>F10/$F$37</f>
        <v>0.39730436606053315</v>
      </c>
    </row>
    <row r="11" spans="1:17" x14ac:dyDescent="0.2">
      <c r="A11" s="164" t="s">
        <v>179</v>
      </c>
      <c r="B11" s="155" t="s">
        <v>178</v>
      </c>
      <c r="C11" s="158">
        <f>42688.63+214056.96</f>
        <v>256745.59</v>
      </c>
      <c r="D11" s="160">
        <f>62122.82+261883.77</f>
        <v>324006.58999999997</v>
      </c>
      <c r="E11" s="162">
        <f>49825.74+291784.65</f>
        <v>341610.39</v>
      </c>
      <c r="F11" s="162">
        <f>309781.84+60505.52</f>
        <v>370287.36000000004</v>
      </c>
      <c r="H11" s="250">
        <f>(D11-C11)/C11*100</f>
        <v>26.197528845578212</v>
      </c>
      <c r="I11" s="250">
        <f t="shared" si="0"/>
        <v>5.4331610971246134</v>
      </c>
      <c r="J11" s="250">
        <f t="shared" si="0"/>
        <v>8.3946422121411555</v>
      </c>
      <c r="K11" s="251">
        <f t="shared" ref="K11:K37" si="1">(F11-E11)/E11*100</f>
        <v>8.3946422121411555</v>
      </c>
      <c r="L11" s="255">
        <f t="shared" ref="L11:L37" si="2">(F11-C11)/C11*100</f>
        <v>44.223454821560928</v>
      </c>
      <c r="N11" s="159">
        <f t="shared" ref="N11:N37" si="3">C11/$C$37</f>
        <v>8.3834007277269473E-2</v>
      </c>
      <c r="O11" s="161">
        <f t="shared" ref="O11:O37" si="4">D11/$D$37</f>
        <v>8.6748070203260558E-2</v>
      </c>
      <c r="P11" s="163">
        <f t="shared" ref="P11:P37" si="5">E11/$E$37</f>
        <v>8.507162549031369E-2</v>
      </c>
      <c r="Q11" s="163">
        <f t="shared" ref="Q11:Q37" si="6">F11/$F$37</f>
        <v>7.6697544285121336E-2</v>
      </c>
    </row>
    <row r="12" spans="1:17" x14ac:dyDescent="0.2">
      <c r="A12" s="164" t="s">
        <v>177</v>
      </c>
      <c r="B12" s="155" t="s">
        <v>176</v>
      </c>
      <c r="C12" s="158"/>
      <c r="D12" s="160"/>
      <c r="E12" s="162"/>
      <c r="F12" s="162"/>
      <c r="H12" s="250"/>
      <c r="I12" s="250"/>
      <c r="J12" s="250"/>
      <c r="K12" s="251"/>
      <c r="L12" s="250"/>
      <c r="N12" s="159"/>
      <c r="O12" s="161"/>
      <c r="P12" s="163"/>
      <c r="Q12" s="163"/>
    </row>
    <row r="13" spans="1:17" x14ac:dyDescent="0.2">
      <c r="A13" s="164" t="s">
        <v>175</v>
      </c>
      <c r="B13" s="155" t="s">
        <v>174</v>
      </c>
      <c r="C13" s="158"/>
      <c r="D13" s="160"/>
      <c r="E13" s="162"/>
      <c r="F13" s="162"/>
      <c r="H13" s="250"/>
      <c r="I13" s="250"/>
      <c r="J13" s="250"/>
      <c r="K13" s="251"/>
      <c r="L13" s="255"/>
      <c r="N13" s="159"/>
      <c r="O13" s="161"/>
      <c r="P13" s="163"/>
      <c r="Q13" s="163"/>
    </row>
    <row r="14" spans="1:17" x14ac:dyDescent="0.2">
      <c r="A14" s="164" t="s">
        <v>173</v>
      </c>
      <c r="B14" s="155" t="s">
        <v>172</v>
      </c>
      <c r="C14" s="158"/>
      <c r="D14" s="160"/>
      <c r="E14" s="162"/>
      <c r="F14" s="162"/>
      <c r="H14" s="250"/>
      <c r="I14" s="250"/>
      <c r="J14" s="250"/>
      <c r="K14" s="251"/>
      <c r="L14" s="255"/>
      <c r="N14" s="159"/>
      <c r="O14" s="161"/>
      <c r="P14" s="163"/>
      <c r="Q14" s="163"/>
    </row>
    <row r="15" spans="1:17" x14ac:dyDescent="0.2">
      <c r="A15" s="164" t="s">
        <v>171</v>
      </c>
      <c r="B15" s="155" t="s">
        <v>170</v>
      </c>
      <c r="C15" s="158"/>
      <c r="D15" s="160"/>
      <c r="E15" s="162"/>
      <c r="F15" s="162"/>
      <c r="H15" s="250"/>
      <c r="I15" s="250"/>
      <c r="J15" s="250"/>
      <c r="K15" s="251"/>
      <c r="L15" s="255"/>
      <c r="N15" s="159"/>
      <c r="O15" s="161"/>
      <c r="P15" s="163"/>
      <c r="Q15" s="163"/>
    </row>
    <row r="16" spans="1:17" x14ac:dyDescent="0.2">
      <c r="A16" s="164" t="s">
        <v>169</v>
      </c>
      <c r="B16" s="155" t="s">
        <v>168</v>
      </c>
      <c r="C16" s="158"/>
      <c r="D16" s="160"/>
      <c r="E16" s="162"/>
      <c r="F16" s="162"/>
      <c r="H16" s="250"/>
      <c r="I16" s="250"/>
      <c r="J16" s="250"/>
      <c r="K16" s="251"/>
      <c r="L16" s="255"/>
      <c r="N16" s="159"/>
      <c r="O16" s="161"/>
      <c r="P16" s="163"/>
      <c r="Q16" s="163"/>
    </row>
    <row r="17" spans="1:17" x14ac:dyDescent="0.2">
      <c r="A17" s="164" t="s">
        <v>167</v>
      </c>
      <c r="B17" s="155" t="s">
        <v>166</v>
      </c>
      <c r="C17" s="158">
        <v>57327.5</v>
      </c>
      <c r="D17" s="160">
        <v>74235</v>
      </c>
      <c r="E17" s="162">
        <v>75765</v>
      </c>
      <c r="F17" s="162">
        <v>110557</v>
      </c>
      <c r="H17" s="250">
        <f>(D17-C17)/C17*100</f>
        <v>29.492826305001962</v>
      </c>
      <c r="I17" s="250">
        <f t="shared" si="0"/>
        <v>2.0610224287734895</v>
      </c>
      <c r="J17" s="250">
        <f t="shared" si="0"/>
        <v>45.920939747904704</v>
      </c>
      <c r="K17" s="251">
        <f t="shared" si="1"/>
        <v>45.920939747904704</v>
      </c>
      <c r="L17" s="255">
        <f t="shared" si="2"/>
        <v>92.8515982730801</v>
      </c>
      <c r="N17" s="159">
        <f t="shared" si="3"/>
        <v>1.8718896212346493E-2</v>
      </c>
      <c r="O17" s="161">
        <f t="shared" si="4"/>
        <v>1.9875345719169008E-2</v>
      </c>
      <c r="P17" s="163">
        <f t="shared" si="5"/>
        <v>1.8867844462440431E-2</v>
      </c>
      <c r="Q17" s="163">
        <f t="shared" si="6"/>
        <v>2.289964854195984E-2</v>
      </c>
    </row>
    <row r="18" spans="1:17" x14ac:dyDescent="0.2">
      <c r="A18" s="164" t="s">
        <v>165</v>
      </c>
      <c r="B18" s="155" t="s">
        <v>164</v>
      </c>
      <c r="C18" s="158"/>
      <c r="D18" s="160"/>
      <c r="E18" s="162"/>
      <c r="F18" s="162"/>
      <c r="H18" s="250"/>
      <c r="I18" s="250"/>
      <c r="J18" s="250"/>
      <c r="K18" s="251"/>
      <c r="L18" s="255"/>
      <c r="N18" s="159"/>
      <c r="O18" s="161"/>
      <c r="P18" s="163"/>
      <c r="Q18" s="163"/>
    </row>
    <row r="19" spans="1:17" x14ac:dyDescent="0.2">
      <c r="A19" s="164" t="s">
        <v>163</v>
      </c>
      <c r="B19" s="155" t="s">
        <v>162</v>
      </c>
      <c r="C19" s="158">
        <v>417667.6</v>
      </c>
      <c r="D19" s="160">
        <v>558806.66</v>
      </c>
      <c r="E19" s="162">
        <v>415968.73</v>
      </c>
      <c r="F19" s="162">
        <v>628894.68000000005</v>
      </c>
      <c r="H19" s="250">
        <f>(D19-C19)/C19*100</f>
        <v>33.792197431641831</v>
      </c>
      <c r="I19" s="250">
        <f t="shared" si="0"/>
        <v>-25.561243310879661</v>
      </c>
      <c r="J19" s="250">
        <f t="shared" si="0"/>
        <v>51.187970307287301</v>
      </c>
      <c r="K19" s="251">
        <f t="shared" si="1"/>
        <v>51.187970307287301</v>
      </c>
      <c r="L19" s="255">
        <f t="shared" si="2"/>
        <v>50.573010690798156</v>
      </c>
      <c r="N19" s="159">
        <f t="shared" si="3"/>
        <v>0.13637916280423618</v>
      </c>
      <c r="O19" s="161">
        <f t="shared" si="4"/>
        <v>0.14961238711758781</v>
      </c>
      <c r="P19" s="163">
        <f t="shared" si="5"/>
        <v>0.10358916780675614</v>
      </c>
      <c r="Q19" s="163">
        <f t="shared" si="6"/>
        <v>0.13026282498537678</v>
      </c>
    </row>
    <row r="20" spans="1:17" x14ac:dyDescent="0.2">
      <c r="A20" s="164" t="s">
        <v>161</v>
      </c>
      <c r="B20" s="155" t="s">
        <v>160</v>
      </c>
      <c r="C20" s="158"/>
      <c r="D20" s="160"/>
      <c r="E20" s="162"/>
      <c r="F20" s="162"/>
      <c r="H20" s="250"/>
      <c r="I20" s="250"/>
      <c r="J20" s="250"/>
      <c r="K20" s="251"/>
      <c r="L20" s="255"/>
      <c r="N20" s="159"/>
      <c r="O20" s="161"/>
      <c r="P20" s="163"/>
      <c r="Q20" s="163"/>
    </row>
    <row r="21" spans="1:17" x14ac:dyDescent="0.2">
      <c r="A21" s="164" t="s">
        <v>159</v>
      </c>
      <c r="B21" s="155" t="s">
        <v>158</v>
      </c>
      <c r="C21" s="158"/>
      <c r="D21" s="160"/>
      <c r="E21" s="162"/>
      <c r="F21" s="162"/>
      <c r="H21" s="250"/>
      <c r="I21" s="250"/>
      <c r="J21" s="250"/>
      <c r="K21" s="251"/>
      <c r="L21" s="255"/>
      <c r="N21" s="159"/>
      <c r="O21" s="161"/>
      <c r="P21" s="163"/>
      <c r="Q21" s="163"/>
    </row>
    <row r="22" spans="1:17" x14ac:dyDescent="0.2">
      <c r="A22" s="164" t="s">
        <v>157</v>
      </c>
      <c r="B22" s="155" t="s">
        <v>156</v>
      </c>
      <c r="C22" s="158"/>
      <c r="D22" s="160"/>
      <c r="E22" s="162"/>
      <c r="F22" s="162"/>
      <c r="H22" s="250"/>
      <c r="I22" s="250"/>
      <c r="J22" s="250"/>
      <c r="K22" s="251"/>
      <c r="L22" s="255"/>
      <c r="N22" s="159"/>
      <c r="O22" s="161"/>
      <c r="P22" s="163"/>
      <c r="Q22" s="163"/>
    </row>
    <row r="23" spans="1:17" x14ac:dyDescent="0.2">
      <c r="A23" s="164" t="s">
        <v>155</v>
      </c>
      <c r="B23" s="155" t="s">
        <v>154</v>
      </c>
      <c r="C23" s="158"/>
      <c r="D23" s="160"/>
      <c r="E23" s="162"/>
      <c r="F23" s="162"/>
      <c r="H23" s="250"/>
      <c r="I23" s="250"/>
      <c r="J23" s="250"/>
      <c r="K23" s="251"/>
      <c r="L23" s="255"/>
      <c r="N23" s="159"/>
      <c r="O23" s="161"/>
      <c r="P23" s="163"/>
      <c r="Q23" s="163"/>
    </row>
    <row r="24" spans="1:17" x14ac:dyDescent="0.2">
      <c r="A24" s="164" t="s">
        <v>153</v>
      </c>
      <c r="B24" s="155" t="s">
        <v>152</v>
      </c>
      <c r="C24" s="158">
        <v>76168.710000000006</v>
      </c>
      <c r="D24" s="160">
        <v>49548.28</v>
      </c>
      <c r="E24" s="162">
        <v>90705.1</v>
      </c>
      <c r="F24" s="162">
        <v>240374.95</v>
      </c>
      <c r="H24" s="250">
        <f>(D24-C24)/C24*100</f>
        <v>-34.949298734349057</v>
      </c>
      <c r="I24" s="250">
        <f t="shared" ref="I24:J37" si="7">(E24-D24)/D24*100</f>
        <v>83.064074070785125</v>
      </c>
      <c r="J24" s="250">
        <f t="shared" si="7"/>
        <v>165.00709441916717</v>
      </c>
      <c r="K24" s="251">
        <f t="shared" si="1"/>
        <v>165.00709441916717</v>
      </c>
      <c r="L24" s="255">
        <f t="shared" si="2"/>
        <v>215.58227781460388</v>
      </c>
      <c r="N24" s="159">
        <f t="shared" si="3"/>
        <v>2.4871033572339954E-2</v>
      </c>
      <c r="O24" s="161">
        <f t="shared" si="4"/>
        <v>1.3265834105074256E-2</v>
      </c>
      <c r="P24" s="163">
        <f t="shared" si="5"/>
        <v>2.2588394624828163E-2</v>
      </c>
      <c r="Q24" s="163">
        <f t="shared" si="6"/>
        <v>4.9788813673409822E-2</v>
      </c>
    </row>
    <row r="25" spans="1:17" x14ac:dyDescent="0.2">
      <c r="A25" s="164" t="s">
        <v>151</v>
      </c>
      <c r="B25" s="155" t="s">
        <v>150</v>
      </c>
      <c r="C25" s="158"/>
      <c r="D25" s="160"/>
      <c r="E25" s="162"/>
      <c r="F25" s="162"/>
      <c r="H25" s="250"/>
      <c r="I25" s="250"/>
      <c r="J25" s="250"/>
      <c r="K25" s="251"/>
      <c r="L25" s="255"/>
      <c r="N25" s="159"/>
      <c r="O25" s="161"/>
      <c r="P25" s="163"/>
      <c r="Q25" s="163"/>
    </row>
    <row r="26" spans="1:17" x14ac:dyDescent="0.2">
      <c r="A26" s="164" t="s">
        <v>149</v>
      </c>
      <c r="B26" s="155" t="s">
        <v>148</v>
      </c>
      <c r="C26" s="158">
        <v>671950.44</v>
      </c>
      <c r="D26" s="160">
        <v>691912.47</v>
      </c>
      <c r="E26" s="162">
        <v>832564.13</v>
      </c>
      <c r="F26" s="162">
        <v>1105826.8</v>
      </c>
      <c r="H26" s="250">
        <f>(D26-C26)/C26*100</f>
        <v>2.970759272067748</v>
      </c>
      <c r="I26" s="250">
        <f t="shared" si="7"/>
        <v>20.327955644447343</v>
      </c>
      <c r="J26" s="250">
        <f t="shared" si="7"/>
        <v>32.821816380679294</v>
      </c>
      <c r="K26" s="251">
        <f t="shared" si="1"/>
        <v>32.821816380679294</v>
      </c>
      <c r="L26" s="255">
        <f t="shared" si="2"/>
        <v>64.569696538929293</v>
      </c>
      <c r="N26" s="159">
        <f t="shared" si="3"/>
        <v>0.21940901916533181</v>
      </c>
      <c r="O26" s="161">
        <f t="shared" si="4"/>
        <v>0.18524953928273932</v>
      </c>
      <c r="P26" s="163">
        <f t="shared" si="5"/>
        <v>0.20733439595917688</v>
      </c>
      <c r="Q26" s="163">
        <f t="shared" si="6"/>
        <v>0.2290496763504809</v>
      </c>
    </row>
    <row r="27" spans="1:17" x14ac:dyDescent="0.2">
      <c r="A27" s="164" t="s">
        <v>147</v>
      </c>
      <c r="B27" s="155" t="s">
        <v>146</v>
      </c>
      <c r="C27" s="158">
        <v>1399.8</v>
      </c>
      <c r="D27" s="160"/>
      <c r="E27" s="162"/>
      <c r="F27" s="162">
        <v>1697.1</v>
      </c>
      <c r="H27" s="250">
        <f>(D27-C27)/C27*100</f>
        <v>-100</v>
      </c>
      <c r="I27" s="250"/>
      <c r="J27" s="250"/>
      <c r="K27" s="251"/>
      <c r="L27" s="255">
        <f t="shared" si="2"/>
        <v>21.238748392627514</v>
      </c>
      <c r="N27" s="159"/>
      <c r="O27" s="161"/>
      <c r="P27" s="163"/>
      <c r="Q27" s="163"/>
    </row>
    <row r="28" spans="1:17" x14ac:dyDescent="0.2">
      <c r="A28" s="164" t="s">
        <v>145</v>
      </c>
      <c r="B28" s="155" t="s">
        <v>144</v>
      </c>
      <c r="C28" s="158"/>
      <c r="D28" s="160"/>
      <c r="E28" s="162"/>
      <c r="F28" s="162"/>
      <c r="H28" s="250"/>
      <c r="I28" s="250"/>
      <c r="J28" s="250"/>
      <c r="K28" s="251"/>
      <c r="L28" s="255"/>
      <c r="N28" s="159"/>
      <c r="O28" s="161"/>
      <c r="P28" s="163"/>
      <c r="Q28" s="163"/>
    </row>
    <row r="29" spans="1:17" x14ac:dyDescent="0.2">
      <c r="A29" s="164" t="s">
        <v>143</v>
      </c>
      <c r="B29" s="155" t="s">
        <v>142</v>
      </c>
      <c r="C29" s="158"/>
      <c r="D29" s="160"/>
      <c r="E29" s="162"/>
      <c r="F29" s="162"/>
      <c r="H29" s="250"/>
      <c r="I29" s="250"/>
      <c r="J29" s="250"/>
      <c r="K29" s="251"/>
      <c r="L29" s="255"/>
      <c r="N29" s="159"/>
      <c r="O29" s="161"/>
      <c r="P29" s="163"/>
      <c r="Q29" s="163"/>
    </row>
    <row r="30" spans="1:17" x14ac:dyDescent="0.2">
      <c r="A30" s="164" t="s">
        <v>141</v>
      </c>
      <c r="B30" s="155" t="s">
        <v>140</v>
      </c>
      <c r="C30" s="158"/>
      <c r="D30" s="160"/>
      <c r="E30" s="162"/>
      <c r="F30" s="162"/>
      <c r="H30" s="250"/>
      <c r="I30" s="250"/>
      <c r="J30" s="250"/>
      <c r="K30" s="251"/>
      <c r="L30" s="255"/>
      <c r="N30" s="159"/>
      <c r="O30" s="161"/>
      <c r="P30" s="163"/>
      <c r="Q30" s="163"/>
    </row>
    <row r="31" spans="1:17" ht="13.5" thickBot="1" x14ac:dyDescent="0.25">
      <c r="A31" s="164"/>
      <c r="B31" s="155" t="s">
        <v>139</v>
      </c>
      <c r="C31" s="158">
        <f>230.77+36808</f>
        <v>37038.769999999997</v>
      </c>
      <c r="D31" s="160">
        <f>15000+301.32+42796.48</f>
        <v>58097.8</v>
      </c>
      <c r="E31" s="162">
        <f>1171.34+23276+16836</f>
        <v>41283.339999999997</v>
      </c>
      <c r="F31" s="162">
        <f>1500+54006</f>
        <v>55506</v>
      </c>
      <c r="H31" s="250">
        <f>(D31-C31)/C31*100</f>
        <v>56.856720674039686</v>
      </c>
      <c r="I31" s="250">
        <f t="shared" si="7"/>
        <v>-28.941646671646787</v>
      </c>
      <c r="J31" s="250">
        <f t="shared" si="7"/>
        <v>34.45133073050777</v>
      </c>
      <c r="K31" s="251">
        <f t="shared" si="1"/>
        <v>34.45133073050777</v>
      </c>
      <c r="L31" s="257">
        <f t="shared" si="2"/>
        <v>49.859188088589349</v>
      </c>
      <c r="N31" s="159">
        <f t="shared" si="3"/>
        <v>1.2094106518912788E-2</v>
      </c>
      <c r="O31" s="161">
        <f t="shared" si="4"/>
        <v>1.5554844217998751E-2</v>
      </c>
      <c r="P31" s="163">
        <f t="shared" si="5"/>
        <v>1.0280837299677234E-2</v>
      </c>
      <c r="Q31" s="163">
        <f t="shared" si="6"/>
        <v>1.1496946298922934E-2</v>
      </c>
    </row>
    <row r="32" spans="1:17" ht="13.5" thickBot="1" x14ac:dyDescent="0.25">
      <c r="A32" s="164"/>
      <c r="B32" s="165" t="s">
        <v>138</v>
      </c>
      <c r="C32" s="168">
        <f>SUM(C8:C31)</f>
        <v>2947270.07</v>
      </c>
      <c r="D32" s="170">
        <f>SUM(D8:D31)</f>
        <v>3468809.3599999994</v>
      </c>
      <c r="E32" s="172">
        <f>SUM(E8:E31)</f>
        <v>3631699.7399999998</v>
      </c>
      <c r="F32" s="172">
        <f>SUM(F8:F31)</f>
        <v>4431285.9400000004</v>
      </c>
      <c r="H32" s="253">
        <f>(D32-C32)/C32*100</f>
        <v>17.695673542397817</v>
      </c>
      <c r="I32" s="253">
        <f t="shared" si="7"/>
        <v>4.6958585236289947</v>
      </c>
      <c r="J32" s="253">
        <f t="shared" si="7"/>
        <v>22.016858695482373</v>
      </c>
      <c r="K32" s="253">
        <f t="shared" si="1"/>
        <v>22.016858695482373</v>
      </c>
      <c r="L32" s="254">
        <f t="shared" si="2"/>
        <v>50.352218655007775</v>
      </c>
      <c r="N32" s="169">
        <f t="shared" si="3"/>
        <v>0.96235912171445093</v>
      </c>
      <c r="O32" s="171">
        <f t="shared" si="4"/>
        <v>0.92872344936875295</v>
      </c>
      <c r="P32" s="173">
        <f t="shared" si="5"/>
        <v>0.90440633311694518</v>
      </c>
      <c r="Q32" s="173">
        <f t="shared" si="6"/>
        <v>0.91785134016777004</v>
      </c>
    </row>
    <row r="33" spans="1:17" ht="13.5" thickBot="1" x14ac:dyDescent="0.25">
      <c r="A33" s="164"/>
      <c r="C33" s="174"/>
      <c r="D33" s="174"/>
      <c r="E33" s="175"/>
      <c r="F33" s="175"/>
      <c r="H33" s="250"/>
      <c r="I33" s="250"/>
      <c r="J33" s="250"/>
      <c r="K33" s="251"/>
      <c r="L33" s="255"/>
      <c r="N33" s="159"/>
      <c r="O33" s="161"/>
      <c r="P33" s="163"/>
      <c r="Q33" s="163"/>
    </row>
    <row r="34" spans="1:17" ht="13.5" thickBot="1" x14ac:dyDescent="0.25">
      <c r="A34" s="164" t="s">
        <v>137</v>
      </c>
      <c r="B34" s="176" t="s">
        <v>136</v>
      </c>
      <c r="C34" s="178">
        <f>92668.2+22608.76</f>
        <v>115276.95999999999</v>
      </c>
      <c r="D34" s="179">
        <f>244544.34+1060.37+20615.3</f>
        <v>266220.01</v>
      </c>
      <c r="E34" s="180">
        <f>66279.06+317583.24</f>
        <v>383862.3</v>
      </c>
      <c r="F34" s="180">
        <v>396604.75</v>
      </c>
      <c r="H34" s="253">
        <f t="shared" ref="H34:H37" si="8">(D34-C34)/C34*100</f>
        <v>130.93947827909415</v>
      </c>
      <c r="I34" s="253">
        <f t="shared" si="7"/>
        <v>44.18987513372867</v>
      </c>
      <c r="J34" s="253">
        <f t="shared" si="7"/>
        <v>3.3195367192871013</v>
      </c>
      <c r="K34" s="253">
        <f t="shared" si="1"/>
        <v>3.3195367192871013</v>
      </c>
      <c r="L34" s="254">
        <f t="shared" si="2"/>
        <v>244.04511534655327</v>
      </c>
      <c r="N34" s="169">
        <f t="shared" si="3"/>
        <v>3.7640878285549136E-2</v>
      </c>
      <c r="O34" s="171">
        <f t="shared" si="4"/>
        <v>7.1276550631247132E-2</v>
      </c>
      <c r="P34" s="173">
        <f t="shared" si="5"/>
        <v>9.5593666883054818E-2</v>
      </c>
      <c r="Q34" s="173">
        <f t="shared" si="6"/>
        <v>8.214865983222995E-2</v>
      </c>
    </row>
    <row r="35" spans="1:17" ht="13.5" thickBot="1" x14ac:dyDescent="0.25">
      <c r="A35" s="164"/>
      <c r="B35" s="165" t="s">
        <v>135</v>
      </c>
      <c r="C35" s="168">
        <f>SUM(C34:C34)</f>
        <v>115276.95999999999</v>
      </c>
      <c r="D35" s="170">
        <f>SUM(D34:D34)</f>
        <v>266220.01</v>
      </c>
      <c r="E35" s="172">
        <f>SUM(E34:E34)</f>
        <v>383862.3</v>
      </c>
      <c r="F35" s="172">
        <f>SUM(F34:F34)</f>
        <v>396604.75</v>
      </c>
      <c r="H35" s="253">
        <f t="shared" si="8"/>
        <v>130.93947827909415</v>
      </c>
      <c r="I35" s="253">
        <f t="shared" si="7"/>
        <v>44.18987513372867</v>
      </c>
      <c r="J35" s="253">
        <f t="shared" si="7"/>
        <v>3.3195367192871013</v>
      </c>
      <c r="K35" s="253">
        <f t="shared" si="1"/>
        <v>3.3195367192871013</v>
      </c>
      <c r="L35" s="254">
        <f t="shared" si="2"/>
        <v>244.04511534655327</v>
      </c>
      <c r="N35" s="169">
        <f t="shared" si="3"/>
        <v>3.7640878285549136E-2</v>
      </c>
      <c r="O35" s="171">
        <f t="shared" si="4"/>
        <v>7.1276550631247132E-2</v>
      </c>
      <c r="P35" s="173">
        <f t="shared" si="5"/>
        <v>9.5593666883054818E-2</v>
      </c>
      <c r="Q35" s="173">
        <f t="shared" si="6"/>
        <v>8.214865983222995E-2</v>
      </c>
    </row>
    <row r="36" spans="1:17" ht="13.5" thickBot="1" x14ac:dyDescent="0.25">
      <c r="A36" s="164"/>
      <c r="C36" s="174"/>
      <c r="D36" s="174"/>
      <c r="E36" s="183"/>
      <c r="F36" s="183"/>
      <c r="H36" s="250"/>
      <c r="I36" s="250"/>
      <c r="J36" s="250"/>
      <c r="K36" s="251"/>
      <c r="L36" s="255"/>
      <c r="N36" s="159"/>
      <c r="O36" s="161"/>
      <c r="P36" s="163"/>
      <c r="Q36" s="163"/>
    </row>
    <row r="37" spans="1:17" ht="13.5" thickBot="1" x14ac:dyDescent="0.25">
      <c r="A37" s="164"/>
      <c r="B37" s="247" t="s">
        <v>134</v>
      </c>
      <c r="C37" s="168">
        <f>C32+C35</f>
        <v>3062547.03</v>
      </c>
      <c r="D37" s="170">
        <f>D32+D35</f>
        <v>3735029.3699999992</v>
      </c>
      <c r="E37" s="186">
        <f>E32+E35</f>
        <v>4015562.0399999996</v>
      </c>
      <c r="F37" s="186">
        <f>F32+F35</f>
        <v>4827890.6900000004</v>
      </c>
      <c r="H37" s="253">
        <f t="shared" si="8"/>
        <v>21.958269813084289</v>
      </c>
      <c r="I37" s="253">
        <f t="shared" si="7"/>
        <v>7.5108557981700814</v>
      </c>
      <c r="J37" s="253">
        <f t="shared" si="7"/>
        <v>20.229513126884747</v>
      </c>
      <c r="K37" s="253">
        <f t="shared" si="1"/>
        <v>20.229513126884747</v>
      </c>
      <c r="L37" s="254">
        <f t="shared" si="2"/>
        <v>57.642989404149681</v>
      </c>
      <c r="N37" s="169">
        <f t="shared" si="3"/>
        <v>1</v>
      </c>
      <c r="O37" s="171">
        <f t="shared" si="4"/>
        <v>1</v>
      </c>
      <c r="P37" s="173">
        <f t="shared" si="5"/>
        <v>1</v>
      </c>
      <c r="Q37" s="173">
        <f t="shared" si="6"/>
        <v>1</v>
      </c>
    </row>
    <row r="38" spans="1:17" ht="13.5" thickBot="1" x14ac:dyDescent="0.25">
      <c r="A38" s="248" t="s">
        <v>202</v>
      </c>
      <c r="B38" s="249" t="s">
        <v>208</v>
      </c>
      <c r="C38" s="187"/>
      <c r="D38" s="174"/>
      <c r="E38" s="175"/>
      <c r="H38" s="187"/>
    </row>
    <row r="39" spans="1:17" x14ac:dyDescent="0.2">
      <c r="C39" s="187"/>
      <c r="D39" s="174"/>
      <c r="E39" s="175"/>
      <c r="H39" s="187"/>
      <c r="N39" s="187"/>
      <c r="O39" s="174"/>
    </row>
    <row r="40" spans="1:17" x14ac:dyDescent="0.2">
      <c r="C40" s="187"/>
      <c r="D40" s="187"/>
      <c r="E40" s="187"/>
      <c r="H40" s="187"/>
      <c r="N40" s="187"/>
      <c r="O40" s="187"/>
    </row>
    <row r="41" spans="1:17" x14ac:dyDescent="0.2">
      <c r="C41" s="187"/>
      <c r="D41" s="187"/>
      <c r="E41" s="187"/>
      <c r="H41" s="187"/>
      <c r="N41" s="187"/>
      <c r="O41" s="187"/>
    </row>
    <row r="42" spans="1:17" x14ac:dyDescent="0.2">
      <c r="C42" s="187"/>
      <c r="D42" s="187"/>
      <c r="E42" s="187"/>
      <c r="H42" s="187"/>
      <c r="N42" s="187"/>
      <c r="O42" s="187"/>
    </row>
    <row r="43" spans="1:17" x14ac:dyDescent="0.2">
      <c r="C43" s="187"/>
      <c r="D43" s="187"/>
      <c r="E43" s="187"/>
      <c r="H43" s="187"/>
      <c r="N43" s="187"/>
      <c r="O43" s="187"/>
    </row>
    <row r="44" spans="1:17" x14ac:dyDescent="0.2">
      <c r="C44" s="187"/>
      <c r="D44" s="187"/>
      <c r="E44" s="187"/>
      <c r="H44" s="187"/>
      <c r="N44" s="187"/>
      <c r="O44" s="187"/>
    </row>
    <row r="45" spans="1:17" x14ac:dyDescent="0.2">
      <c r="C45" s="187"/>
      <c r="D45" s="187"/>
      <c r="E45" s="187"/>
      <c r="H45" s="187"/>
      <c r="N45" s="187"/>
      <c r="O45" s="187"/>
    </row>
    <row r="46" spans="1:17" x14ac:dyDescent="0.2">
      <c r="C46" s="187"/>
      <c r="D46" s="187"/>
      <c r="E46" s="187"/>
      <c r="H46" s="187"/>
      <c r="N46" s="187"/>
      <c r="O46" s="187"/>
    </row>
    <row r="47" spans="1:17" x14ac:dyDescent="0.2">
      <c r="C47" s="187"/>
      <c r="D47" s="187"/>
      <c r="E47" s="187"/>
      <c r="H47" s="187"/>
      <c r="N47" s="187"/>
      <c r="O47" s="187"/>
    </row>
    <row r="48" spans="1:17" x14ac:dyDescent="0.2">
      <c r="C48" s="187"/>
      <c r="D48" s="187"/>
      <c r="E48" s="187"/>
      <c r="H48" s="187"/>
      <c r="N48" s="187"/>
      <c r="O48" s="187"/>
    </row>
    <row r="49" spans="1:15" x14ac:dyDescent="0.2">
      <c r="C49" s="187"/>
      <c r="D49" s="187"/>
      <c r="E49" s="187"/>
      <c r="H49" s="187"/>
      <c r="N49" s="187"/>
      <c r="O49" s="187"/>
    </row>
    <row r="50" spans="1:15" x14ac:dyDescent="0.2">
      <c r="C50" s="187"/>
      <c r="D50" s="187"/>
      <c r="E50" s="187"/>
      <c r="H50" s="187"/>
      <c r="N50" s="187"/>
      <c r="O50" s="187"/>
    </row>
    <row r="51" spans="1:15" x14ac:dyDescent="0.2">
      <c r="C51" s="187"/>
      <c r="D51" s="187"/>
      <c r="E51" s="187"/>
      <c r="H51" s="187"/>
      <c r="N51" s="187"/>
      <c r="O51" s="187"/>
    </row>
    <row r="52" spans="1:15" x14ac:dyDescent="0.2">
      <c r="C52" s="187"/>
      <c r="D52" s="187"/>
      <c r="E52" s="187"/>
      <c r="H52" s="187"/>
      <c r="N52" s="187"/>
      <c r="O52" s="187"/>
    </row>
    <row r="53" spans="1:15" x14ac:dyDescent="0.2">
      <c r="A53" s="1"/>
      <c r="C53" s="187"/>
      <c r="D53" s="187"/>
      <c r="E53" s="187"/>
      <c r="H53" s="187"/>
      <c r="N53" s="187"/>
      <c r="O53" s="187"/>
    </row>
    <row r="54" spans="1:15" x14ac:dyDescent="0.2">
      <c r="A54" s="1"/>
      <c r="C54" s="187"/>
      <c r="D54" s="187"/>
      <c r="E54" s="187"/>
      <c r="H54" s="187"/>
      <c r="N54" s="187"/>
      <c r="O54" s="187"/>
    </row>
    <row r="55" spans="1:15" x14ac:dyDescent="0.2">
      <c r="A55" s="1"/>
      <c r="C55" s="187"/>
      <c r="D55" s="187"/>
      <c r="E55" s="187"/>
      <c r="H55" s="187"/>
      <c r="N55" s="187"/>
      <c r="O55" s="187"/>
    </row>
    <row r="56" spans="1:15" x14ac:dyDescent="0.2">
      <c r="A56" s="1"/>
      <c r="C56" s="187"/>
      <c r="D56" s="187"/>
      <c r="E56" s="187"/>
      <c r="H56" s="187"/>
      <c r="N56" s="187"/>
      <c r="O56" s="187"/>
    </row>
    <row r="57" spans="1:15" x14ac:dyDescent="0.2">
      <c r="A57" s="1"/>
      <c r="C57" s="187"/>
      <c r="D57" s="187"/>
      <c r="E57" s="187"/>
      <c r="H57" s="187"/>
      <c r="N57" s="187"/>
      <c r="O57" s="187"/>
    </row>
    <row r="58" spans="1:15" x14ac:dyDescent="0.2">
      <c r="A58" s="1"/>
      <c r="C58" s="187"/>
      <c r="D58" s="187"/>
      <c r="E58" s="187"/>
      <c r="H58" s="187"/>
      <c r="N58" s="187"/>
      <c r="O58" s="187"/>
    </row>
    <row r="59" spans="1:15" x14ac:dyDescent="0.2">
      <c r="A59" s="1"/>
      <c r="C59" s="187"/>
      <c r="D59" s="187"/>
      <c r="E59" s="187"/>
      <c r="H59" s="187"/>
      <c r="N59" s="187"/>
      <c r="O59" s="187"/>
    </row>
    <row r="60" spans="1:15" x14ac:dyDescent="0.2">
      <c r="A60" s="1"/>
      <c r="C60" s="187"/>
      <c r="D60" s="187"/>
      <c r="E60" s="187"/>
      <c r="H60" s="187"/>
      <c r="N60" s="187"/>
      <c r="O60" s="187"/>
    </row>
    <row r="61" spans="1:15" x14ac:dyDescent="0.2">
      <c r="A61" s="1"/>
      <c r="C61" s="187"/>
      <c r="D61" s="187"/>
      <c r="E61" s="187"/>
      <c r="H61" s="187"/>
      <c r="N61" s="187"/>
      <c r="O61" s="187"/>
    </row>
    <row r="62" spans="1:15" x14ac:dyDescent="0.2">
      <c r="A62" s="1"/>
      <c r="C62" s="187"/>
      <c r="D62" s="187"/>
      <c r="E62" s="187"/>
      <c r="H62" s="187"/>
      <c r="N62" s="187"/>
      <c r="O62" s="187"/>
    </row>
    <row r="63" spans="1:15" x14ac:dyDescent="0.2">
      <c r="A63" s="1"/>
      <c r="C63" s="187"/>
      <c r="D63" s="187"/>
      <c r="E63" s="187"/>
      <c r="H63" s="187"/>
      <c r="N63" s="187"/>
      <c r="O63" s="187"/>
    </row>
    <row r="64" spans="1:15" x14ac:dyDescent="0.2">
      <c r="A64" s="1"/>
      <c r="C64" s="187"/>
      <c r="D64" s="187"/>
      <c r="E64" s="187"/>
      <c r="H64" s="187"/>
      <c r="N64" s="187"/>
      <c r="O64" s="187"/>
    </row>
    <row r="65" spans="1:15" x14ac:dyDescent="0.2">
      <c r="A65" s="1"/>
      <c r="C65" s="187"/>
      <c r="D65" s="187"/>
      <c r="E65" s="187"/>
      <c r="H65" s="187"/>
      <c r="N65" s="187"/>
      <c r="O65" s="187"/>
    </row>
    <row r="66" spans="1:15" x14ac:dyDescent="0.2">
      <c r="A66" s="1"/>
      <c r="C66" s="187"/>
      <c r="D66" s="187"/>
      <c r="E66" s="187"/>
      <c r="H66" s="187"/>
      <c r="N66" s="187"/>
      <c r="O66" s="187"/>
    </row>
    <row r="67" spans="1:15" x14ac:dyDescent="0.2">
      <c r="A67" s="1"/>
      <c r="C67" s="187"/>
      <c r="D67" s="187"/>
      <c r="E67" s="187"/>
      <c r="H67" s="187"/>
      <c r="N67" s="187"/>
      <c r="O67" s="187"/>
    </row>
    <row r="68" spans="1:15" x14ac:dyDescent="0.2">
      <c r="A68" s="1"/>
      <c r="C68" s="187"/>
      <c r="D68" s="187"/>
      <c r="E68" s="187"/>
      <c r="H68" s="187"/>
      <c r="N68" s="187"/>
      <c r="O68" s="187"/>
    </row>
    <row r="69" spans="1:15" x14ac:dyDescent="0.2">
      <c r="A69" s="1"/>
      <c r="C69" s="187"/>
      <c r="D69" s="187"/>
      <c r="E69" s="187"/>
      <c r="H69" s="187"/>
      <c r="N69" s="187"/>
      <c r="O69" s="187"/>
    </row>
    <row r="70" spans="1:15" x14ac:dyDescent="0.2">
      <c r="A70" s="1"/>
      <c r="C70" s="187"/>
      <c r="D70" s="187"/>
      <c r="E70" s="187"/>
      <c r="H70" s="187"/>
      <c r="N70" s="187"/>
      <c r="O70" s="187"/>
    </row>
    <row r="71" spans="1:15" x14ac:dyDescent="0.2">
      <c r="A71" s="1"/>
      <c r="C71" s="187"/>
      <c r="D71" s="187"/>
      <c r="E71" s="187"/>
      <c r="H71" s="187"/>
      <c r="N71" s="187"/>
      <c r="O71" s="187"/>
    </row>
    <row r="72" spans="1:15" x14ac:dyDescent="0.2">
      <c r="A72" s="1"/>
      <c r="C72" s="187"/>
      <c r="D72" s="187"/>
      <c r="E72" s="187"/>
      <c r="H72" s="187"/>
      <c r="N72" s="187"/>
      <c r="O72" s="187"/>
    </row>
    <row r="73" spans="1:15" x14ac:dyDescent="0.2">
      <c r="A73" s="1"/>
      <c r="C73" s="187"/>
      <c r="D73" s="187"/>
      <c r="E73" s="187"/>
      <c r="H73" s="187"/>
      <c r="N73" s="187"/>
      <c r="O73" s="187"/>
    </row>
    <row r="74" spans="1:15" x14ac:dyDescent="0.2">
      <c r="A74" s="1"/>
      <c r="C74" s="187"/>
      <c r="D74" s="187"/>
      <c r="E74" s="187"/>
      <c r="H74" s="187"/>
      <c r="N74" s="187"/>
      <c r="O74" s="187"/>
    </row>
    <row r="75" spans="1:15" x14ac:dyDescent="0.2">
      <c r="A75" s="1"/>
      <c r="C75" s="187"/>
      <c r="D75" s="187"/>
      <c r="E75" s="187"/>
      <c r="H75" s="187"/>
      <c r="N75" s="187"/>
      <c r="O75" s="187"/>
    </row>
    <row r="76" spans="1:15" x14ac:dyDescent="0.2">
      <c r="A76" s="1"/>
      <c r="C76" s="187"/>
      <c r="D76" s="187"/>
      <c r="E76" s="187"/>
      <c r="H76" s="187"/>
      <c r="N76" s="187"/>
      <c r="O76" s="187"/>
    </row>
    <row r="77" spans="1:15" x14ac:dyDescent="0.2">
      <c r="A77" s="1"/>
      <c r="C77" s="187"/>
      <c r="D77" s="187"/>
      <c r="E77" s="187"/>
      <c r="H77" s="187"/>
      <c r="N77" s="187"/>
      <c r="O77" s="187"/>
    </row>
    <row r="78" spans="1:15" x14ac:dyDescent="0.2">
      <c r="A78" s="1"/>
      <c r="C78" s="187"/>
      <c r="D78" s="187"/>
      <c r="E78" s="187"/>
      <c r="H78" s="187"/>
      <c r="N78" s="187"/>
      <c r="O78" s="187"/>
    </row>
    <row r="79" spans="1:15" x14ac:dyDescent="0.2">
      <c r="A79" s="1"/>
      <c r="C79" s="187"/>
      <c r="D79" s="187"/>
      <c r="E79" s="187"/>
      <c r="H79" s="187"/>
      <c r="N79" s="187"/>
      <c r="O79" s="187"/>
    </row>
    <row r="80" spans="1:15" x14ac:dyDescent="0.2">
      <c r="A80" s="1"/>
      <c r="C80" s="187"/>
      <c r="D80" s="187"/>
      <c r="E80" s="187"/>
      <c r="H80" s="187"/>
      <c r="N80" s="187"/>
      <c r="O80" s="187"/>
    </row>
    <row r="81" spans="1:15" x14ac:dyDescent="0.2">
      <c r="A81" s="1"/>
      <c r="C81" s="187"/>
      <c r="D81" s="187"/>
      <c r="E81" s="187"/>
      <c r="H81" s="187"/>
      <c r="N81" s="187"/>
      <c r="O81" s="187"/>
    </row>
    <row r="82" spans="1:15" x14ac:dyDescent="0.2">
      <c r="A82" s="1"/>
      <c r="C82" s="187"/>
      <c r="D82" s="187"/>
      <c r="E82" s="187"/>
      <c r="H82" s="187"/>
      <c r="N82" s="187"/>
      <c r="O82" s="187"/>
    </row>
    <row r="83" spans="1:15" x14ac:dyDescent="0.2">
      <c r="A83" s="1"/>
      <c r="C83" s="187"/>
      <c r="D83" s="187"/>
      <c r="E83" s="187"/>
      <c r="H83" s="187"/>
      <c r="N83" s="187"/>
      <c r="O83" s="187"/>
    </row>
    <row r="84" spans="1:15" x14ac:dyDescent="0.2">
      <c r="A84" s="1"/>
      <c r="C84" s="187"/>
      <c r="D84" s="187"/>
      <c r="E84" s="187"/>
      <c r="H84" s="187"/>
      <c r="N84" s="187"/>
      <c r="O84" s="187"/>
    </row>
    <row r="85" spans="1:15" x14ac:dyDescent="0.2">
      <c r="A85" s="1"/>
      <c r="C85" s="187"/>
      <c r="D85" s="187"/>
      <c r="E85" s="187"/>
      <c r="H85" s="187"/>
      <c r="N85" s="187"/>
      <c r="O85" s="187"/>
    </row>
    <row r="86" spans="1:15" x14ac:dyDescent="0.2">
      <c r="A86" s="1"/>
      <c r="C86" s="187"/>
      <c r="D86" s="187"/>
      <c r="E86" s="187"/>
      <c r="H86" s="187"/>
      <c r="N86" s="187"/>
      <c r="O86" s="187"/>
    </row>
    <row r="87" spans="1:15" x14ac:dyDescent="0.2">
      <c r="A87" s="1"/>
      <c r="C87" s="187"/>
      <c r="D87" s="187"/>
      <c r="E87" s="187"/>
      <c r="H87" s="187"/>
      <c r="N87" s="187"/>
      <c r="O87" s="187"/>
    </row>
    <row r="88" spans="1:15" x14ac:dyDescent="0.2">
      <c r="A88" s="1"/>
      <c r="C88" s="187"/>
      <c r="D88" s="187"/>
      <c r="E88" s="187"/>
      <c r="H88" s="187"/>
      <c r="N88" s="187"/>
      <c r="O88" s="187"/>
    </row>
    <row r="89" spans="1:15" x14ac:dyDescent="0.2">
      <c r="A89" s="1"/>
      <c r="C89" s="187"/>
      <c r="D89" s="187"/>
      <c r="E89" s="187"/>
      <c r="H89" s="187"/>
      <c r="N89" s="187"/>
      <c r="O89" s="187"/>
    </row>
    <row r="90" spans="1:15" x14ac:dyDescent="0.2">
      <c r="A90" s="1"/>
      <c r="C90" s="187"/>
      <c r="D90" s="187"/>
      <c r="E90" s="187"/>
      <c r="H90" s="187"/>
      <c r="N90" s="187"/>
      <c r="O90" s="187"/>
    </row>
    <row r="91" spans="1:15" x14ac:dyDescent="0.2">
      <c r="A91" s="1"/>
      <c r="C91" s="187"/>
      <c r="D91" s="187"/>
      <c r="E91" s="187"/>
      <c r="H91" s="187"/>
      <c r="N91" s="187"/>
      <c r="O91" s="187"/>
    </row>
    <row r="92" spans="1:15" x14ac:dyDescent="0.2">
      <c r="A92" s="1"/>
      <c r="C92" s="187"/>
      <c r="D92" s="187"/>
      <c r="E92" s="187"/>
      <c r="H92" s="187"/>
      <c r="N92" s="187"/>
      <c r="O92" s="187"/>
    </row>
    <row r="93" spans="1:15" x14ac:dyDescent="0.2">
      <c r="A93" s="1"/>
      <c r="C93" s="187"/>
      <c r="D93" s="187"/>
      <c r="E93" s="187"/>
      <c r="H93" s="187"/>
      <c r="N93" s="187"/>
      <c r="O93" s="187"/>
    </row>
    <row r="94" spans="1:15" x14ac:dyDescent="0.2">
      <c r="A94" s="1"/>
      <c r="C94" s="187"/>
      <c r="D94" s="187"/>
      <c r="E94" s="187"/>
      <c r="H94" s="187"/>
      <c r="N94" s="187"/>
      <c r="O94" s="187"/>
    </row>
    <row r="95" spans="1:15" x14ac:dyDescent="0.2">
      <c r="A95" s="1"/>
      <c r="C95" s="187"/>
      <c r="D95" s="187"/>
      <c r="E95" s="187"/>
      <c r="H95" s="187"/>
      <c r="N95" s="187"/>
      <c r="O95" s="187"/>
    </row>
    <row r="96" spans="1:15" x14ac:dyDescent="0.2">
      <c r="A96" s="1"/>
      <c r="C96" s="187"/>
      <c r="D96" s="187"/>
      <c r="E96" s="187"/>
      <c r="H96" s="187"/>
      <c r="N96" s="187"/>
      <c r="O96" s="187"/>
    </row>
    <row r="97" spans="1:15" x14ac:dyDescent="0.2">
      <c r="A97" s="1"/>
      <c r="C97" s="187"/>
      <c r="D97" s="187"/>
      <c r="E97" s="187"/>
      <c r="H97" s="187"/>
      <c r="N97" s="187"/>
      <c r="O97" s="187"/>
    </row>
    <row r="98" spans="1:15" x14ac:dyDescent="0.2">
      <c r="A98" s="1"/>
      <c r="C98" s="187"/>
      <c r="D98" s="187"/>
      <c r="E98" s="187"/>
      <c r="H98" s="187"/>
      <c r="N98" s="187"/>
      <c r="O98" s="187"/>
    </row>
    <row r="99" spans="1:15" x14ac:dyDescent="0.2">
      <c r="A99" s="1"/>
      <c r="C99" s="187"/>
      <c r="D99" s="187"/>
      <c r="E99" s="187"/>
      <c r="H99" s="187"/>
      <c r="N99" s="187"/>
      <c r="O99" s="187"/>
    </row>
    <row r="100" spans="1:15" x14ac:dyDescent="0.2">
      <c r="A100" s="1"/>
      <c r="C100" s="187"/>
      <c r="D100" s="187"/>
      <c r="E100" s="187"/>
      <c r="H100" s="187"/>
      <c r="N100" s="187"/>
      <c r="O100" s="187"/>
    </row>
    <row r="101" spans="1:15" x14ac:dyDescent="0.2">
      <c r="A101" s="1"/>
      <c r="C101" s="187"/>
      <c r="D101" s="187"/>
      <c r="E101" s="187"/>
      <c r="H101" s="187"/>
      <c r="N101" s="187"/>
      <c r="O101" s="187"/>
    </row>
    <row r="102" spans="1:15" x14ac:dyDescent="0.2">
      <c r="A102" s="1"/>
      <c r="C102" s="187"/>
      <c r="D102" s="187"/>
      <c r="E102" s="187"/>
      <c r="H102" s="187"/>
      <c r="N102" s="187"/>
      <c r="O102" s="187"/>
    </row>
    <row r="103" spans="1:15" x14ac:dyDescent="0.2">
      <c r="A103" s="1"/>
      <c r="C103" s="187"/>
      <c r="D103" s="187"/>
      <c r="E103" s="187"/>
      <c r="H103" s="187"/>
      <c r="N103" s="187"/>
      <c r="O103" s="187"/>
    </row>
    <row r="104" spans="1:15" x14ac:dyDescent="0.2">
      <c r="A104" s="1"/>
      <c r="C104" s="187"/>
      <c r="D104" s="187"/>
      <c r="E104" s="187"/>
      <c r="H104" s="187"/>
      <c r="N104" s="187"/>
      <c r="O104" s="187"/>
    </row>
    <row r="105" spans="1:15" x14ac:dyDescent="0.2">
      <c r="A105" s="1"/>
      <c r="C105" s="187"/>
      <c r="D105" s="187"/>
      <c r="E105" s="187"/>
      <c r="H105" s="187"/>
      <c r="N105" s="187"/>
      <c r="O105" s="187"/>
    </row>
    <row r="106" spans="1:15" x14ac:dyDescent="0.2">
      <c r="A106" s="1"/>
      <c r="C106" s="187"/>
      <c r="D106" s="187"/>
      <c r="E106" s="187"/>
      <c r="H106" s="187"/>
      <c r="N106" s="187"/>
      <c r="O106" s="187"/>
    </row>
    <row r="107" spans="1:15" x14ac:dyDescent="0.2">
      <c r="A107" s="1"/>
      <c r="C107" s="187"/>
      <c r="D107" s="187"/>
      <c r="E107" s="187"/>
      <c r="H107" s="187"/>
      <c r="N107" s="187"/>
      <c r="O107" s="187"/>
    </row>
    <row r="108" spans="1:15" x14ac:dyDescent="0.2">
      <c r="A108" s="1"/>
      <c r="C108" s="187"/>
      <c r="D108" s="187"/>
      <c r="E108" s="187"/>
      <c r="H108" s="187"/>
      <c r="N108" s="187"/>
      <c r="O108" s="187"/>
    </row>
    <row r="109" spans="1:15" x14ac:dyDescent="0.2">
      <c r="A109" s="1"/>
      <c r="C109" s="187"/>
      <c r="D109" s="187"/>
      <c r="E109" s="187"/>
      <c r="H109" s="187"/>
      <c r="N109" s="187"/>
      <c r="O109" s="187"/>
    </row>
    <row r="110" spans="1:15" x14ac:dyDescent="0.2">
      <c r="A110" s="1"/>
      <c r="C110" s="187"/>
      <c r="D110" s="187"/>
      <c r="E110" s="187"/>
      <c r="H110" s="187"/>
      <c r="N110" s="187"/>
      <c r="O110" s="187"/>
    </row>
    <row r="111" spans="1:15" x14ac:dyDescent="0.2">
      <c r="A111" s="1"/>
      <c r="C111" s="187"/>
      <c r="D111" s="187"/>
      <c r="E111" s="187"/>
      <c r="H111" s="187"/>
      <c r="N111" s="187"/>
      <c r="O111" s="187"/>
    </row>
    <row r="112" spans="1:15" x14ac:dyDescent="0.2">
      <c r="A112" s="1"/>
      <c r="C112" s="187"/>
      <c r="D112" s="187"/>
      <c r="E112" s="187"/>
      <c r="H112" s="187"/>
      <c r="N112" s="187"/>
      <c r="O112" s="187"/>
    </row>
    <row r="113" spans="1:15" x14ac:dyDescent="0.2">
      <c r="A113" s="1"/>
      <c r="C113" s="187"/>
      <c r="D113" s="187"/>
      <c r="E113" s="187"/>
      <c r="H113" s="187"/>
      <c r="N113" s="187"/>
      <c r="O113" s="187"/>
    </row>
    <row r="114" spans="1:15" x14ac:dyDescent="0.2">
      <c r="A114" s="1"/>
      <c r="C114" s="187"/>
      <c r="D114" s="187"/>
      <c r="E114" s="187"/>
      <c r="H114" s="187"/>
      <c r="N114" s="187"/>
      <c r="O114" s="187"/>
    </row>
    <row r="115" spans="1:15" x14ac:dyDescent="0.2">
      <c r="A115" s="1"/>
      <c r="C115" s="187"/>
      <c r="D115" s="187"/>
      <c r="E115" s="187"/>
      <c r="H115" s="187"/>
      <c r="N115" s="187"/>
      <c r="O115" s="187"/>
    </row>
    <row r="116" spans="1:15" x14ac:dyDescent="0.2">
      <c r="A116" s="1"/>
      <c r="C116" s="187"/>
      <c r="D116" s="187"/>
      <c r="E116" s="187"/>
      <c r="H116" s="187"/>
      <c r="N116" s="187"/>
      <c r="O116" s="187"/>
    </row>
    <row r="117" spans="1:15" x14ac:dyDescent="0.2">
      <c r="A117" s="1"/>
      <c r="C117" s="187"/>
      <c r="D117" s="187"/>
      <c r="E117" s="187"/>
      <c r="H117" s="187"/>
      <c r="N117" s="187"/>
      <c r="O117" s="187"/>
    </row>
    <row r="118" spans="1:15" x14ac:dyDescent="0.2">
      <c r="A118" s="1"/>
      <c r="C118" s="187"/>
      <c r="D118" s="187"/>
      <c r="E118" s="187"/>
      <c r="H118" s="187"/>
      <c r="N118" s="187"/>
      <c r="O118" s="187"/>
    </row>
    <row r="119" spans="1:15" x14ac:dyDescent="0.2">
      <c r="A119" s="1"/>
      <c r="C119" s="187"/>
      <c r="D119" s="187"/>
      <c r="E119" s="187"/>
      <c r="H119" s="187"/>
      <c r="N119" s="187"/>
      <c r="O119" s="187"/>
    </row>
    <row r="120" spans="1:15" x14ac:dyDescent="0.2">
      <c r="A120" s="1"/>
      <c r="C120" s="187"/>
      <c r="D120" s="187"/>
      <c r="E120" s="187"/>
      <c r="H120" s="187"/>
      <c r="N120" s="187"/>
      <c r="O120" s="187"/>
    </row>
    <row r="121" spans="1:15" x14ac:dyDescent="0.2">
      <c r="A121" s="1"/>
      <c r="C121" s="187"/>
      <c r="D121" s="187"/>
      <c r="E121" s="187"/>
      <c r="H121" s="187"/>
      <c r="N121" s="187"/>
      <c r="O121" s="187"/>
    </row>
    <row r="122" spans="1:15" x14ac:dyDescent="0.2">
      <c r="A122" s="1"/>
      <c r="C122" s="187"/>
      <c r="D122" s="187"/>
      <c r="E122" s="187"/>
      <c r="H122" s="187"/>
      <c r="N122" s="187"/>
      <c r="O122" s="187"/>
    </row>
    <row r="123" spans="1:15" x14ac:dyDescent="0.2">
      <c r="A123" s="1"/>
      <c r="C123" s="187"/>
      <c r="D123" s="187"/>
      <c r="E123" s="187"/>
      <c r="H123" s="187"/>
      <c r="N123" s="187"/>
      <c r="O123" s="187"/>
    </row>
    <row r="124" spans="1:15" x14ac:dyDescent="0.2">
      <c r="A124" s="1"/>
      <c r="C124" s="187"/>
      <c r="D124" s="187"/>
      <c r="E124" s="187"/>
      <c r="H124" s="187"/>
      <c r="N124" s="187"/>
      <c r="O124" s="187"/>
    </row>
    <row r="125" spans="1:15" x14ac:dyDescent="0.2">
      <c r="A125" s="1"/>
      <c r="C125" s="187"/>
      <c r="D125" s="187"/>
      <c r="E125" s="187"/>
      <c r="H125" s="187"/>
      <c r="N125" s="187"/>
      <c r="O125" s="187"/>
    </row>
    <row r="126" spans="1:15" x14ac:dyDescent="0.2">
      <c r="A126" s="1"/>
      <c r="C126" s="187"/>
      <c r="D126" s="187"/>
      <c r="E126" s="187"/>
      <c r="H126" s="187"/>
      <c r="N126" s="187"/>
      <c r="O126" s="187"/>
    </row>
    <row r="127" spans="1:15" x14ac:dyDescent="0.2">
      <c r="A127" s="1"/>
      <c r="C127" s="187"/>
      <c r="D127" s="187"/>
      <c r="E127" s="187"/>
      <c r="H127" s="187"/>
      <c r="N127" s="187"/>
      <c r="O127" s="187"/>
    </row>
    <row r="128" spans="1:15" x14ac:dyDescent="0.2">
      <c r="A128" s="1"/>
      <c r="C128" s="187"/>
      <c r="D128" s="187"/>
      <c r="E128" s="187"/>
      <c r="H128" s="187"/>
      <c r="N128" s="187"/>
      <c r="O128" s="187"/>
    </row>
    <row r="129" spans="1:15" x14ac:dyDescent="0.2">
      <c r="A129" s="1"/>
      <c r="C129" s="187"/>
      <c r="D129" s="187"/>
      <c r="E129" s="187"/>
      <c r="H129" s="187"/>
      <c r="N129" s="187"/>
      <c r="O129" s="187"/>
    </row>
    <row r="130" spans="1:15" x14ac:dyDescent="0.2">
      <c r="A130" s="1"/>
      <c r="C130" s="187"/>
      <c r="D130" s="187"/>
      <c r="E130" s="187"/>
      <c r="H130" s="187"/>
      <c r="N130" s="187"/>
      <c r="O130" s="187"/>
    </row>
    <row r="131" spans="1:15" x14ac:dyDescent="0.2">
      <c r="A131" s="1"/>
      <c r="C131" s="187"/>
      <c r="D131" s="187"/>
      <c r="E131" s="187"/>
      <c r="H131" s="187"/>
      <c r="N131" s="187"/>
      <c r="O131" s="187"/>
    </row>
    <row r="132" spans="1:15" x14ac:dyDescent="0.2">
      <c r="A132" s="1"/>
      <c r="C132" s="187"/>
      <c r="D132" s="187"/>
      <c r="E132" s="187"/>
      <c r="H132" s="187"/>
      <c r="N132" s="187"/>
      <c r="O132" s="187"/>
    </row>
    <row r="133" spans="1:15" x14ac:dyDescent="0.2">
      <c r="A133" s="1"/>
      <c r="C133" s="187"/>
      <c r="D133" s="187"/>
      <c r="E133" s="187"/>
      <c r="H133" s="187"/>
      <c r="N133" s="187"/>
      <c r="O133" s="187"/>
    </row>
    <row r="134" spans="1:15" x14ac:dyDescent="0.2">
      <c r="A134" s="1"/>
      <c r="C134" s="187"/>
      <c r="D134" s="187"/>
      <c r="E134" s="187"/>
      <c r="H134" s="187"/>
      <c r="N134" s="187"/>
      <c r="O134" s="187"/>
    </row>
    <row r="135" spans="1:15" x14ac:dyDescent="0.2">
      <c r="A135" s="1"/>
      <c r="C135" s="187"/>
      <c r="D135" s="187"/>
      <c r="E135" s="187"/>
      <c r="H135" s="187"/>
      <c r="N135" s="187"/>
      <c r="O135" s="187"/>
    </row>
    <row r="136" spans="1:15" x14ac:dyDescent="0.2">
      <c r="A136" s="1"/>
      <c r="C136" s="187"/>
      <c r="D136" s="187"/>
      <c r="E136" s="187"/>
      <c r="H136" s="187"/>
      <c r="N136" s="187"/>
      <c r="O136" s="187"/>
    </row>
    <row r="137" spans="1:15" x14ac:dyDescent="0.2">
      <c r="A137" s="1"/>
      <c r="C137" s="187"/>
      <c r="D137" s="187"/>
      <c r="E137" s="187"/>
      <c r="H137" s="187"/>
      <c r="N137" s="187"/>
      <c r="O137" s="187"/>
    </row>
    <row r="138" spans="1:15" x14ac:dyDescent="0.2">
      <c r="A138" s="1"/>
      <c r="C138" s="187"/>
      <c r="D138" s="187"/>
      <c r="E138" s="187"/>
      <c r="H138" s="187"/>
      <c r="N138" s="187"/>
      <c r="O138" s="187"/>
    </row>
    <row r="139" spans="1:15" x14ac:dyDescent="0.2">
      <c r="A139" s="1"/>
      <c r="C139" s="187"/>
      <c r="D139" s="187"/>
      <c r="E139" s="187"/>
      <c r="H139" s="187"/>
      <c r="N139" s="187"/>
      <c r="O139" s="187"/>
    </row>
    <row r="140" spans="1:15" x14ac:dyDescent="0.2">
      <c r="A140" s="1"/>
      <c r="C140" s="187"/>
      <c r="D140" s="187"/>
      <c r="E140" s="187"/>
      <c r="H140" s="187"/>
      <c r="N140" s="187"/>
      <c r="O140" s="187"/>
    </row>
    <row r="141" spans="1:15" x14ac:dyDescent="0.2">
      <c r="A141" s="1"/>
      <c r="C141" s="187"/>
      <c r="D141" s="187"/>
      <c r="E141" s="187"/>
      <c r="H141" s="187"/>
      <c r="N141" s="187"/>
      <c r="O141" s="187"/>
    </row>
    <row r="142" spans="1:15" x14ac:dyDescent="0.2">
      <c r="A142" s="1"/>
      <c r="C142" s="187"/>
      <c r="D142" s="187"/>
      <c r="E142" s="187"/>
      <c r="H142" s="187"/>
      <c r="N142" s="187"/>
      <c r="O142" s="187"/>
    </row>
    <row r="143" spans="1:15" x14ac:dyDescent="0.2">
      <c r="A143" s="1"/>
      <c r="C143" s="187"/>
      <c r="D143" s="187"/>
      <c r="E143" s="187"/>
      <c r="H143" s="187"/>
      <c r="N143" s="187"/>
      <c r="O143" s="187"/>
    </row>
    <row r="144" spans="1:15" x14ac:dyDescent="0.2">
      <c r="A144" s="1"/>
      <c r="C144" s="187"/>
      <c r="D144" s="187"/>
      <c r="E144" s="187"/>
      <c r="H144" s="187"/>
      <c r="N144" s="187"/>
      <c r="O144" s="187"/>
    </row>
  </sheetData>
  <mergeCells count="4">
    <mergeCell ref="H6:L6"/>
    <mergeCell ref="N6:Q6"/>
    <mergeCell ref="A3:Q3"/>
    <mergeCell ref="A4:Q4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7"/>
  <sheetViews>
    <sheetView workbookViewId="0">
      <selection activeCell="G20" sqref="G20"/>
    </sheetView>
  </sheetViews>
  <sheetFormatPr defaultRowHeight="15" x14ac:dyDescent="0.25"/>
  <cols>
    <col min="1" max="1" width="14.42578125" customWidth="1"/>
    <col min="2" max="2" width="48.28515625" customWidth="1"/>
    <col min="3" max="3" width="29.140625" style="279" customWidth="1"/>
    <col min="6" max="6" width="12.7109375" bestFit="1" customWidth="1"/>
    <col min="7" max="7" width="12.5703125" bestFit="1" customWidth="1"/>
    <col min="257" max="257" width="12.85546875" bestFit="1" customWidth="1"/>
    <col min="258" max="258" width="48.28515625" customWidth="1"/>
    <col min="259" max="259" width="29.140625" customWidth="1"/>
    <col min="513" max="513" width="12.85546875" bestFit="1" customWidth="1"/>
    <col min="514" max="514" width="48.28515625" customWidth="1"/>
    <col min="515" max="515" width="29.140625" customWidth="1"/>
    <col min="769" max="769" width="12.85546875" bestFit="1" customWidth="1"/>
    <col min="770" max="770" width="48.28515625" customWidth="1"/>
    <col min="771" max="771" width="29.140625" customWidth="1"/>
    <col min="1025" max="1025" width="12.85546875" bestFit="1" customWidth="1"/>
    <col min="1026" max="1026" width="48.28515625" customWidth="1"/>
    <col min="1027" max="1027" width="29.140625" customWidth="1"/>
    <col min="1281" max="1281" width="12.85546875" bestFit="1" customWidth="1"/>
    <col min="1282" max="1282" width="48.28515625" customWidth="1"/>
    <col min="1283" max="1283" width="29.140625" customWidth="1"/>
    <col min="1537" max="1537" width="12.85546875" bestFit="1" customWidth="1"/>
    <col min="1538" max="1538" width="48.28515625" customWidth="1"/>
    <col min="1539" max="1539" width="29.140625" customWidth="1"/>
    <col min="1793" max="1793" width="12.85546875" bestFit="1" customWidth="1"/>
    <col min="1794" max="1794" width="48.28515625" customWidth="1"/>
    <col min="1795" max="1795" width="29.140625" customWidth="1"/>
    <col min="2049" max="2049" width="12.85546875" bestFit="1" customWidth="1"/>
    <col min="2050" max="2050" width="48.28515625" customWidth="1"/>
    <col min="2051" max="2051" width="29.140625" customWidth="1"/>
    <col min="2305" max="2305" width="12.85546875" bestFit="1" customWidth="1"/>
    <col min="2306" max="2306" width="48.28515625" customWidth="1"/>
    <col min="2307" max="2307" width="29.140625" customWidth="1"/>
    <col min="2561" max="2561" width="12.85546875" bestFit="1" customWidth="1"/>
    <col min="2562" max="2562" width="48.28515625" customWidth="1"/>
    <col min="2563" max="2563" width="29.140625" customWidth="1"/>
    <col min="2817" max="2817" width="12.85546875" bestFit="1" customWidth="1"/>
    <col min="2818" max="2818" width="48.28515625" customWidth="1"/>
    <col min="2819" max="2819" width="29.140625" customWidth="1"/>
    <col min="3073" max="3073" width="12.85546875" bestFit="1" customWidth="1"/>
    <col min="3074" max="3074" width="48.28515625" customWidth="1"/>
    <col min="3075" max="3075" width="29.140625" customWidth="1"/>
    <col min="3329" max="3329" width="12.85546875" bestFit="1" customWidth="1"/>
    <col min="3330" max="3330" width="48.28515625" customWidth="1"/>
    <col min="3331" max="3331" width="29.140625" customWidth="1"/>
    <col min="3585" max="3585" width="12.85546875" bestFit="1" customWidth="1"/>
    <col min="3586" max="3586" width="48.28515625" customWidth="1"/>
    <col min="3587" max="3587" width="29.140625" customWidth="1"/>
    <col min="3841" max="3841" width="12.85546875" bestFit="1" customWidth="1"/>
    <col min="3842" max="3842" width="48.28515625" customWidth="1"/>
    <col min="3843" max="3843" width="29.140625" customWidth="1"/>
    <col min="4097" max="4097" width="12.85546875" bestFit="1" customWidth="1"/>
    <col min="4098" max="4098" width="48.28515625" customWidth="1"/>
    <col min="4099" max="4099" width="29.140625" customWidth="1"/>
    <col min="4353" max="4353" width="12.85546875" bestFit="1" customWidth="1"/>
    <col min="4354" max="4354" width="48.28515625" customWidth="1"/>
    <col min="4355" max="4355" width="29.140625" customWidth="1"/>
    <col min="4609" max="4609" width="12.85546875" bestFit="1" customWidth="1"/>
    <col min="4610" max="4610" width="48.28515625" customWidth="1"/>
    <col min="4611" max="4611" width="29.140625" customWidth="1"/>
    <col min="4865" max="4865" width="12.85546875" bestFit="1" customWidth="1"/>
    <col min="4866" max="4866" width="48.28515625" customWidth="1"/>
    <col min="4867" max="4867" width="29.140625" customWidth="1"/>
    <col min="5121" max="5121" width="12.85546875" bestFit="1" customWidth="1"/>
    <col min="5122" max="5122" width="48.28515625" customWidth="1"/>
    <col min="5123" max="5123" width="29.140625" customWidth="1"/>
    <col min="5377" max="5377" width="12.85546875" bestFit="1" customWidth="1"/>
    <col min="5378" max="5378" width="48.28515625" customWidth="1"/>
    <col min="5379" max="5379" width="29.140625" customWidth="1"/>
    <col min="5633" max="5633" width="12.85546875" bestFit="1" customWidth="1"/>
    <col min="5634" max="5634" width="48.28515625" customWidth="1"/>
    <col min="5635" max="5635" width="29.140625" customWidth="1"/>
    <col min="5889" max="5889" width="12.85546875" bestFit="1" customWidth="1"/>
    <col min="5890" max="5890" width="48.28515625" customWidth="1"/>
    <col min="5891" max="5891" width="29.140625" customWidth="1"/>
    <col min="6145" max="6145" width="12.85546875" bestFit="1" customWidth="1"/>
    <col min="6146" max="6146" width="48.28515625" customWidth="1"/>
    <col min="6147" max="6147" width="29.140625" customWidth="1"/>
    <col min="6401" max="6401" width="12.85546875" bestFit="1" customWidth="1"/>
    <col min="6402" max="6402" width="48.28515625" customWidth="1"/>
    <col min="6403" max="6403" width="29.140625" customWidth="1"/>
    <col min="6657" max="6657" width="12.85546875" bestFit="1" customWidth="1"/>
    <col min="6658" max="6658" width="48.28515625" customWidth="1"/>
    <col min="6659" max="6659" width="29.140625" customWidth="1"/>
    <col min="6913" max="6913" width="12.85546875" bestFit="1" customWidth="1"/>
    <col min="6914" max="6914" width="48.28515625" customWidth="1"/>
    <col min="6915" max="6915" width="29.140625" customWidth="1"/>
    <col min="7169" max="7169" width="12.85546875" bestFit="1" customWidth="1"/>
    <col min="7170" max="7170" width="48.28515625" customWidth="1"/>
    <col min="7171" max="7171" width="29.140625" customWidth="1"/>
    <col min="7425" max="7425" width="12.85546875" bestFit="1" customWidth="1"/>
    <col min="7426" max="7426" width="48.28515625" customWidth="1"/>
    <col min="7427" max="7427" width="29.140625" customWidth="1"/>
    <col min="7681" max="7681" width="12.85546875" bestFit="1" customWidth="1"/>
    <col min="7682" max="7682" width="48.28515625" customWidth="1"/>
    <col min="7683" max="7683" width="29.140625" customWidth="1"/>
    <col min="7937" max="7937" width="12.85546875" bestFit="1" customWidth="1"/>
    <col min="7938" max="7938" width="48.28515625" customWidth="1"/>
    <col min="7939" max="7939" width="29.140625" customWidth="1"/>
    <col min="8193" max="8193" width="12.85546875" bestFit="1" customWidth="1"/>
    <col min="8194" max="8194" width="48.28515625" customWidth="1"/>
    <col min="8195" max="8195" width="29.140625" customWidth="1"/>
    <col min="8449" max="8449" width="12.85546875" bestFit="1" customWidth="1"/>
    <col min="8450" max="8450" width="48.28515625" customWidth="1"/>
    <col min="8451" max="8451" width="29.140625" customWidth="1"/>
    <col min="8705" max="8705" width="12.85546875" bestFit="1" customWidth="1"/>
    <col min="8706" max="8706" width="48.28515625" customWidth="1"/>
    <col min="8707" max="8707" width="29.140625" customWidth="1"/>
    <col min="8961" max="8961" width="12.85546875" bestFit="1" customWidth="1"/>
    <col min="8962" max="8962" width="48.28515625" customWidth="1"/>
    <col min="8963" max="8963" width="29.140625" customWidth="1"/>
    <col min="9217" max="9217" width="12.85546875" bestFit="1" customWidth="1"/>
    <col min="9218" max="9218" width="48.28515625" customWidth="1"/>
    <col min="9219" max="9219" width="29.140625" customWidth="1"/>
    <col min="9473" max="9473" width="12.85546875" bestFit="1" customWidth="1"/>
    <col min="9474" max="9474" width="48.28515625" customWidth="1"/>
    <col min="9475" max="9475" width="29.140625" customWidth="1"/>
    <col min="9729" max="9729" width="12.85546875" bestFit="1" customWidth="1"/>
    <col min="9730" max="9730" width="48.28515625" customWidth="1"/>
    <col min="9731" max="9731" width="29.140625" customWidth="1"/>
    <col min="9985" max="9985" width="12.85546875" bestFit="1" customWidth="1"/>
    <col min="9986" max="9986" width="48.28515625" customWidth="1"/>
    <col min="9987" max="9987" width="29.140625" customWidth="1"/>
    <col min="10241" max="10241" width="12.85546875" bestFit="1" customWidth="1"/>
    <col min="10242" max="10242" width="48.28515625" customWidth="1"/>
    <col min="10243" max="10243" width="29.140625" customWidth="1"/>
    <col min="10497" max="10497" width="12.85546875" bestFit="1" customWidth="1"/>
    <col min="10498" max="10498" width="48.28515625" customWidth="1"/>
    <col min="10499" max="10499" width="29.140625" customWidth="1"/>
    <col min="10753" max="10753" width="12.85546875" bestFit="1" customWidth="1"/>
    <col min="10754" max="10754" width="48.28515625" customWidth="1"/>
    <col min="10755" max="10755" width="29.140625" customWidth="1"/>
    <col min="11009" max="11009" width="12.85546875" bestFit="1" customWidth="1"/>
    <col min="11010" max="11010" width="48.28515625" customWidth="1"/>
    <col min="11011" max="11011" width="29.140625" customWidth="1"/>
    <col min="11265" max="11265" width="12.85546875" bestFit="1" customWidth="1"/>
    <col min="11266" max="11266" width="48.28515625" customWidth="1"/>
    <col min="11267" max="11267" width="29.140625" customWidth="1"/>
    <col min="11521" max="11521" width="12.85546875" bestFit="1" customWidth="1"/>
    <col min="11522" max="11522" width="48.28515625" customWidth="1"/>
    <col min="11523" max="11523" width="29.140625" customWidth="1"/>
    <col min="11777" max="11777" width="12.85546875" bestFit="1" customWidth="1"/>
    <col min="11778" max="11778" width="48.28515625" customWidth="1"/>
    <col min="11779" max="11779" width="29.140625" customWidth="1"/>
    <col min="12033" max="12033" width="12.85546875" bestFit="1" customWidth="1"/>
    <col min="12034" max="12034" width="48.28515625" customWidth="1"/>
    <col min="12035" max="12035" width="29.140625" customWidth="1"/>
    <col min="12289" max="12289" width="12.85546875" bestFit="1" customWidth="1"/>
    <col min="12290" max="12290" width="48.28515625" customWidth="1"/>
    <col min="12291" max="12291" width="29.140625" customWidth="1"/>
    <col min="12545" max="12545" width="12.85546875" bestFit="1" customWidth="1"/>
    <col min="12546" max="12546" width="48.28515625" customWidth="1"/>
    <col min="12547" max="12547" width="29.140625" customWidth="1"/>
    <col min="12801" max="12801" width="12.85546875" bestFit="1" customWidth="1"/>
    <col min="12802" max="12802" width="48.28515625" customWidth="1"/>
    <col min="12803" max="12803" width="29.140625" customWidth="1"/>
    <col min="13057" max="13057" width="12.85546875" bestFit="1" customWidth="1"/>
    <col min="13058" max="13058" width="48.28515625" customWidth="1"/>
    <col min="13059" max="13059" width="29.140625" customWidth="1"/>
    <col min="13313" max="13313" width="12.85546875" bestFit="1" customWidth="1"/>
    <col min="13314" max="13314" width="48.28515625" customWidth="1"/>
    <col min="13315" max="13315" width="29.140625" customWidth="1"/>
    <col min="13569" max="13569" width="12.85546875" bestFit="1" customWidth="1"/>
    <col min="13570" max="13570" width="48.28515625" customWidth="1"/>
    <col min="13571" max="13571" width="29.140625" customWidth="1"/>
    <col min="13825" max="13825" width="12.85546875" bestFit="1" customWidth="1"/>
    <col min="13826" max="13826" width="48.28515625" customWidth="1"/>
    <col min="13827" max="13827" width="29.140625" customWidth="1"/>
    <col min="14081" max="14081" width="12.85546875" bestFit="1" customWidth="1"/>
    <col min="14082" max="14082" width="48.28515625" customWidth="1"/>
    <col min="14083" max="14083" width="29.140625" customWidth="1"/>
    <col min="14337" max="14337" width="12.85546875" bestFit="1" customWidth="1"/>
    <col min="14338" max="14338" width="48.28515625" customWidth="1"/>
    <col min="14339" max="14339" width="29.140625" customWidth="1"/>
    <col min="14593" max="14593" width="12.85546875" bestFit="1" customWidth="1"/>
    <col min="14594" max="14594" width="48.28515625" customWidth="1"/>
    <col min="14595" max="14595" width="29.140625" customWidth="1"/>
    <col min="14849" max="14849" width="12.85546875" bestFit="1" customWidth="1"/>
    <col min="14850" max="14850" width="48.28515625" customWidth="1"/>
    <col min="14851" max="14851" width="29.140625" customWidth="1"/>
    <col min="15105" max="15105" width="12.85546875" bestFit="1" customWidth="1"/>
    <col min="15106" max="15106" width="48.28515625" customWidth="1"/>
    <col min="15107" max="15107" width="29.140625" customWidth="1"/>
    <col min="15361" max="15361" width="12.85546875" bestFit="1" customWidth="1"/>
    <col min="15362" max="15362" width="48.28515625" customWidth="1"/>
    <col min="15363" max="15363" width="29.140625" customWidth="1"/>
    <col min="15617" max="15617" width="12.85546875" bestFit="1" customWidth="1"/>
    <col min="15618" max="15618" width="48.28515625" customWidth="1"/>
    <col min="15619" max="15619" width="29.140625" customWidth="1"/>
    <col min="15873" max="15873" width="12.85546875" bestFit="1" customWidth="1"/>
    <col min="15874" max="15874" width="48.28515625" customWidth="1"/>
    <col min="15875" max="15875" width="29.140625" customWidth="1"/>
    <col min="16129" max="16129" width="12.85546875" bestFit="1" customWidth="1"/>
    <col min="16130" max="16130" width="48.28515625" customWidth="1"/>
    <col min="16131" max="16131" width="29.140625" customWidth="1"/>
  </cols>
  <sheetData>
    <row r="1" spans="1:8" ht="16.5" thickBot="1" x14ac:dyDescent="0.3">
      <c r="A1" s="370" t="s">
        <v>213</v>
      </c>
      <c r="B1" s="370"/>
      <c r="C1" s="370"/>
      <c r="D1" s="354" t="s">
        <v>272</v>
      </c>
      <c r="E1" s="355"/>
      <c r="F1" s="311"/>
    </row>
    <row r="2" spans="1:8" x14ac:dyDescent="0.25">
      <c r="A2" s="371" t="s">
        <v>214</v>
      </c>
      <c r="B2" s="371"/>
      <c r="C2" s="371"/>
    </row>
    <row r="3" spans="1:8" ht="15.75" thickBot="1" x14ac:dyDescent="0.3">
      <c r="A3" s="259"/>
      <c r="B3" s="259"/>
      <c r="C3" s="259"/>
    </row>
    <row r="4" spans="1:8" x14ac:dyDescent="0.25">
      <c r="A4" s="372" t="s">
        <v>243</v>
      </c>
      <c r="B4" s="373"/>
      <c r="C4" s="374"/>
      <c r="E4" s="281"/>
      <c r="F4" s="282">
        <v>2018</v>
      </c>
      <c r="G4" s="282">
        <v>2019</v>
      </c>
      <c r="H4" s="189"/>
    </row>
    <row r="5" spans="1:8" x14ac:dyDescent="0.25">
      <c r="A5" s="375" t="s">
        <v>215</v>
      </c>
      <c r="B5" s="376"/>
      <c r="C5" s="377"/>
      <c r="E5" s="189" t="s">
        <v>255</v>
      </c>
      <c r="F5" s="283">
        <f>SUM('receita e despesa anual'!C4:C9)</f>
        <v>1783993.3699999999</v>
      </c>
      <c r="G5" s="284">
        <f>SUM('receita e despesa anual'!C20:C25)</f>
        <v>1849390.47</v>
      </c>
      <c r="H5" s="285">
        <f>(G5-F5)/F5*100</f>
        <v>3.6657703498079757</v>
      </c>
    </row>
    <row r="6" spans="1:8" x14ac:dyDescent="0.25">
      <c r="A6" s="260"/>
      <c r="B6" s="189"/>
      <c r="C6" s="261"/>
      <c r="E6" s="189" t="s">
        <v>256</v>
      </c>
      <c r="F6" s="284">
        <f>SUM('receita e despesa anual'!D4:D9)</f>
        <v>1923902.3599999999</v>
      </c>
      <c r="G6" s="284">
        <f>SUM('receita e despesa anual'!D20:D25)</f>
        <v>2300089.83</v>
      </c>
      <c r="H6" s="285">
        <f t="shared" ref="H6:H10" si="0">(G6-F6)/F6*100</f>
        <v>19.553355607921819</v>
      </c>
    </row>
    <row r="7" spans="1:8" x14ac:dyDescent="0.25">
      <c r="A7" s="262">
        <v>1</v>
      </c>
      <c r="B7" s="263" t="s">
        <v>216</v>
      </c>
      <c r="C7" s="264">
        <f>SUM(C9:C12)</f>
        <v>2472823.9300000002</v>
      </c>
      <c r="E7" s="189" t="s">
        <v>257</v>
      </c>
      <c r="F7" s="284">
        <f>SUM('receita e despesa anual'!E4:E9)</f>
        <v>1759053.8099999998</v>
      </c>
      <c r="G7" s="284">
        <f>SUM('receita e despesa anual'!E20:E25)</f>
        <v>1756395.03</v>
      </c>
      <c r="H7" s="285">
        <f t="shared" si="0"/>
        <v>-0.15114830398507226</v>
      </c>
    </row>
    <row r="8" spans="1:8" x14ac:dyDescent="0.25">
      <c r="A8" s="260"/>
      <c r="B8" s="189"/>
      <c r="C8" s="261"/>
      <c r="E8" s="189" t="s">
        <v>258</v>
      </c>
      <c r="F8" s="284">
        <f>SUM('receita e despesa anual'!F4:F9)</f>
        <v>2193876.2599999998</v>
      </c>
      <c r="G8" s="285">
        <v>2035570.18</v>
      </c>
      <c r="H8" s="285">
        <f t="shared" si="0"/>
        <v>-7.2158162648608029</v>
      </c>
    </row>
    <row r="9" spans="1:8" x14ac:dyDescent="0.25">
      <c r="A9" s="260" t="s">
        <v>131</v>
      </c>
      <c r="B9" s="265" t="s">
        <v>217</v>
      </c>
      <c r="C9" s="266">
        <v>1677615.51</v>
      </c>
      <c r="E9" s="189" t="s">
        <v>259</v>
      </c>
      <c r="F9" s="284">
        <f>SUM('receita e despesa anual'!G4:G9)</f>
        <v>1842301.25</v>
      </c>
      <c r="G9" s="285">
        <v>1932580.13</v>
      </c>
      <c r="H9" s="285">
        <f t="shared" si="0"/>
        <v>4.9003321253785117</v>
      </c>
    </row>
    <row r="10" spans="1:8" x14ac:dyDescent="0.25">
      <c r="A10" s="260" t="s">
        <v>218</v>
      </c>
      <c r="B10" s="265" t="s">
        <v>219</v>
      </c>
      <c r="C10" s="266">
        <v>637822.01</v>
      </c>
      <c r="E10" s="189"/>
      <c r="F10" s="283">
        <f>SUM(F5:F9)</f>
        <v>9503127.0499999989</v>
      </c>
      <c r="G10" s="283">
        <f>SUM(G5:G9)</f>
        <v>9874025.6400000006</v>
      </c>
      <c r="H10" s="285">
        <f t="shared" si="0"/>
        <v>3.9029109897041918</v>
      </c>
    </row>
    <row r="11" spans="1:8" x14ac:dyDescent="0.25">
      <c r="A11" s="260" t="s">
        <v>252</v>
      </c>
      <c r="B11" s="265" t="s">
        <v>220</v>
      </c>
      <c r="C11" s="266">
        <v>157386.41</v>
      </c>
    </row>
    <row r="12" spans="1:8" x14ac:dyDescent="0.25">
      <c r="A12" s="260"/>
      <c r="B12" s="265"/>
      <c r="C12" s="266"/>
    </row>
    <row r="13" spans="1:8" x14ac:dyDescent="0.25">
      <c r="A13" s="260"/>
      <c r="B13" s="263" t="s">
        <v>221</v>
      </c>
      <c r="C13" s="267"/>
    </row>
    <row r="14" spans="1:8" x14ac:dyDescent="0.25">
      <c r="A14" s="260"/>
      <c r="B14" s="189"/>
      <c r="C14" s="261"/>
    </row>
    <row r="15" spans="1:8" x14ac:dyDescent="0.25">
      <c r="A15" s="260"/>
      <c r="B15" s="263" t="s">
        <v>222</v>
      </c>
      <c r="C15" s="264">
        <f>SUM(C16:C21)</f>
        <v>7043511.4900000002</v>
      </c>
    </row>
    <row r="16" spans="1:8" x14ac:dyDescent="0.25">
      <c r="A16" s="260"/>
      <c r="B16" s="265"/>
      <c r="C16" s="266"/>
    </row>
    <row r="17" spans="1:3" x14ac:dyDescent="0.25">
      <c r="A17" s="268" t="s">
        <v>244</v>
      </c>
      <c r="B17" s="265" t="s">
        <v>223</v>
      </c>
      <c r="C17" s="266">
        <v>16437.07</v>
      </c>
    </row>
    <row r="18" spans="1:3" x14ac:dyDescent="0.25">
      <c r="A18" s="268" t="s">
        <v>245</v>
      </c>
      <c r="B18" s="265" t="s">
        <v>224</v>
      </c>
      <c r="C18" s="266">
        <v>732974.57</v>
      </c>
    </row>
    <row r="19" spans="1:3" x14ac:dyDescent="0.25">
      <c r="A19" s="269" t="s">
        <v>246</v>
      </c>
      <c r="B19" s="265" t="s">
        <v>225</v>
      </c>
      <c r="C19" s="266">
        <v>6277950.3600000003</v>
      </c>
    </row>
    <row r="20" spans="1:3" x14ac:dyDescent="0.25">
      <c r="A20" s="269" t="s">
        <v>247</v>
      </c>
      <c r="B20" s="265" t="s">
        <v>226</v>
      </c>
      <c r="C20" s="266">
        <v>16149.49</v>
      </c>
    </row>
    <row r="21" spans="1:3" x14ac:dyDescent="0.25">
      <c r="A21" s="260"/>
      <c r="B21" s="265"/>
      <c r="C21" s="261"/>
    </row>
    <row r="22" spans="1:3" x14ac:dyDescent="0.25">
      <c r="A22" s="260"/>
      <c r="B22" s="263" t="s">
        <v>227</v>
      </c>
      <c r="C22" s="264">
        <f>SUM(C23:C26)</f>
        <v>7802930.2199999997</v>
      </c>
    </row>
    <row r="23" spans="1:3" x14ac:dyDescent="0.25">
      <c r="A23" s="268" t="s">
        <v>248</v>
      </c>
      <c r="B23" s="265" t="s">
        <v>228</v>
      </c>
      <c r="C23" s="266">
        <v>30412.959999999999</v>
      </c>
    </row>
    <row r="24" spans="1:3" x14ac:dyDescent="0.25">
      <c r="A24" s="268" t="s">
        <v>249</v>
      </c>
      <c r="B24" s="265" t="s">
        <v>229</v>
      </c>
      <c r="C24" s="266">
        <v>79902.759999999995</v>
      </c>
    </row>
    <row r="25" spans="1:3" x14ac:dyDescent="0.25">
      <c r="A25" s="268" t="s">
        <v>250</v>
      </c>
      <c r="B25" s="265" t="s">
        <v>230</v>
      </c>
      <c r="C25" s="266">
        <v>7363358.4299999997</v>
      </c>
    </row>
    <row r="26" spans="1:3" x14ac:dyDescent="0.25">
      <c r="A26" s="268" t="s">
        <v>251</v>
      </c>
      <c r="B26" s="265" t="s">
        <v>231</v>
      </c>
      <c r="C26" s="266">
        <v>329256.07</v>
      </c>
    </row>
    <row r="27" spans="1:3" x14ac:dyDescent="0.25">
      <c r="A27" s="268"/>
      <c r="B27" s="265"/>
      <c r="C27" s="266"/>
    </row>
    <row r="28" spans="1:3" x14ac:dyDescent="0.25">
      <c r="A28" s="270">
        <v>9</v>
      </c>
      <c r="B28" s="271" t="s">
        <v>232</v>
      </c>
      <c r="C28" s="272">
        <f>-SUM(C29:C32)</f>
        <v>-222450.91000000003</v>
      </c>
    </row>
    <row r="29" spans="1:3" x14ac:dyDescent="0.25">
      <c r="A29" s="270"/>
      <c r="B29" s="273" t="s">
        <v>233</v>
      </c>
      <c r="C29" s="274">
        <v>15262.92</v>
      </c>
    </row>
    <row r="30" spans="1:3" x14ac:dyDescent="0.25">
      <c r="A30" s="270"/>
      <c r="B30" s="273" t="s">
        <v>234</v>
      </c>
      <c r="C30" s="274">
        <v>191666.91</v>
      </c>
    </row>
    <row r="31" spans="1:3" x14ac:dyDescent="0.25">
      <c r="A31" s="270"/>
      <c r="B31" s="273" t="s">
        <v>253</v>
      </c>
      <c r="C31" s="274">
        <v>462.64</v>
      </c>
    </row>
    <row r="32" spans="1:3" x14ac:dyDescent="0.25">
      <c r="A32" s="270"/>
      <c r="B32" s="273" t="s">
        <v>254</v>
      </c>
      <c r="C32" s="274">
        <v>15058.44</v>
      </c>
    </row>
    <row r="33" spans="1:3" x14ac:dyDescent="0.25">
      <c r="A33" s="270"/>
      <c r="B33" s="273"/>
      <c r="C33" s="274"/>
    </row>
    <row r="34" spans="1:3" x14ac:dyDescent="0.25">
      <c r="A34" s="270"/>
      <c r="B34" s="271"/>
      <c r="C34" s="272"/>
    </row>
    <row r="35" spans="1:3" x14ac:dyDescent="0.25">
      <c r="A35" s="260"/>
      <c r="B35" s="263" t="s">
        <v>235</v>
      </c>
      <c r="C35" s="264">
        <f>SUM(C22+C15+C7+C28)</f>
        <v>17096814.73</v>
      </c>
    </row>
    <row r="36" spans="1:3" x14ac:dyDescent="0.25">
      <c r="A36" s="260"/>
      <c r="B36" s="263" t="s">
        <v>236</v>
      </c>
      <c r="C36" s="275">
        <v>1.0754999999999999</v>
      </c>
    </row>
    <row r="37" spans="1:3" x14ac:dyDescent="0.25">
      <c r="A37" s="260"/>
      <c r="B37" s="263" t="s">
        <v>237</v>
      </c>
      <c r="C37" s="264">
        <f>C35*C36</f>
        <v>18387624.242114998</v>
      </c>
    </row>
    <row r="38" spans="1:3" x14ac:dyDescent="0.25">
      <c r="A38" s="260"/>
      <c r="B38" s="263"/>
      <c r="C38" s="264"/>
    </row>
    <row r="39" spans="1:3" x14ac:dyDescent="0.25">
      <c r="A39" s="260"/>
      <c r="B39" s="189" t="s">
        <v>238</v>
      </c>
      <c r="C39" s="276">
        <v>7.0000000000000007E-2</v>
      </c>
    </row>
    <row r="40" spans="1:3" x14ac:dyDescent="0.25">
      <c r="A40" s="260"/>
      <c r="B40" s="189"/>
      <c r="C40" s="261"/>
    </row>
    <row r="41" spans="1:3" x14ac:dyDescent="0.25">
      <c r="A41" s="260"/>
      <c r="B41" s="263" t="s">
        <v>239</v>
      </c>
      <c r="C41" s="264">
        <f>C37*C39</f>
        <v>1287133.6969480501</v>
      </c>
    </row>
    <row r="42" spans="1:3" x14ac:dyDescent="0.25">
      <c r="A42" s="260"/>
      <c r="B42" s="189"/>
      <c r="C42" s="261"/>
    </row>
    <row r="43" spans="1:3" x14ac:dyDescent="0.25">
      <c r="A43" s="260"/>
      <c r="B43" s="277" t="s">
        <v>240</v>
      </c>
      <c r="C43" s="278">
        <v>0.7</v>
      </c>
    </row>
    <row r="44" spans="1:3" x14ac:dyDescent="0.25">
      <c r="A44" s="260"/>
      <c r="B44" s="189"/>
      <c r="C44" s="261"/>
    </row>
    <row r="45" spans="1:3" x14ac:dyDescent="0.25">
      <c r="A45" s="260"/>
      <c r="B45" s="263" t="s">
        <v>241</v>
      </c>
      <c r="C45" s="264">
        <f>C41*C43</f>
        <v>900993.58786363504</v>
      </c>
    </row>
    <row r="46" spans="1:3" x14ac:dyDescent="0.25">
      <c r="A46" s="260"/>
      <c r="B46" s="263"/>
      <c r="C46" s="264"/>
    </row>
    <row r="47" spans="1:3" x14ac:dyDescent="0.25">
      <c r="B47" s="263" t="s">
        <v>242</v>
      </c>
      <c r="C47" s="264">
        <f>C41/12</f>
        <v>107261.1414123375</v>
      </c>
    </row>
  </sheetData>
  <mergeCells count="5">
    <mergeCell ref="A1:C1"/>
    <mergeCell ref="A2:C2"/>
    <mergeCell ref="A4:C4"/>
    <mergeCell ref="A5:C5"/>
    <mergeCell ref="D1:E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folha anual</vt:lpstr>
      <vt:lpstr>folha mensal</vt:lpstr>
      <vt:lpstr>receita e despesa anual</vt:lpstr>
      <vt:lpstr>desp. liquidada por secretaria</vt:lpstr>
      <vt:lpstr>rec vert e horiz</vt:lpstr>
      <vt:lpstr>desp vert e horiz</vt:lpstr>
      <vt:lpstr>saldo por recurso</vt:lpstr>
      <vt:lpstr>analise horiz e verti saude</vt:lpstr>
      <vt:lpstr>duodecimo camara</vt:lpstr>
      <vt:lpstr>excesso de arrecadação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Prefeitura</cp:lastModifiedBy>
  <cp:lastPrinted>2019-06-17T20:43:10Z</cp:lastPrinted>
  <dcterms:created xsi:type="dcterms:W3CDTF">2019-05-10T13:36:53Z</dcterms:created>
  <dcterms:modified xsi:type="dcterms:W3CDTF">2020-01-14T13:48:50Z</dcterms:modified>
</cp:coreProperties>
</file>